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png" ContentType="image/png"/>
  <Default Extension="jpeg" ContentType="image/jpeg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65" tabRatio="740" activeTab="8"/>
  </bookViews>
  <sheets>
    <sheet name="DBXA" sheetId="69" r:id="rId1"/>
    <sheet name="RDE" sheetId="33" r:id="rId2"/>
    <sheet name="RDG" sheetId="28" r:id="rId3"/>
    <sheet name="R-2DCE" sheetId="4" r:id="rId4"/>
    <sheet name="R-2DCG" sheetId="5" r:id="rId5"/>
    <sheet name="钻孔参数" sheetId="6" r:id="rId6"/>
    <sheet name="铣刀锥度计算器" sheetId="73" r:id="rId7"/>
    <sheet name="三角函数+比例换算" sheetId="71" r:id="rId8"/>
    <sheet name="钻孔深度+切削速度" sheetId="72" r:id="rId9"/>
  </sheets>
  <definedNames>
    <definedName name="_xlnm.Print_Area" localSheetId="3">'R-2DCE'!$A:$I</definedName>
    <definedName name="_xlnm.Print_Area" localSheetId="4">'R-2DCG'!$A:$I</definedName>
    <definedName name="_xlnm.Print_Area" localSheetId="2">RDG!$A$1:$H$54</definedName>
    <definedName name="_xlnm.Print_Area" localSheetId="1">RDE!$A$1:$H$48</definedName>
  </definedNames>
  <calcPr calcId="144525"/>
</workbook>
</file>

<file path=xl/sharedStrings.xml><?xml version="1.0" encoding="utf-8"?>
<sst xmlns="http://schemas.openxmlformats.org/spreadsheetml/2006/main" count="556" uniqueCount="238">
  <si>
    <t>DBXA 整体硬质合金反面倒角刀</t>
  </si>
  <si>
    <t>适用于小孔反面倒角加工</t>
  </si>
  <si>
    <t>B：侧压式直柄</t>
  </si>
  <si>
    <t>偏心进出孔内，同心向上倒角</t>
  </si>
  <si>
    <t xml:space="preserve">    本刀具作为一款小孔反面倒角刀，因其是整体硬质合金偏心结构，具有刀具刚性好、倒角宽度大、可维修重磨、单个孔的使用成本低的优点，广泛应用于各类通孔的反面倒角。</t>
  </si>
  <si>
    <t>1、刀具安装：本刀具的安装必须朝向一个固定的方向，如果方向反了在进入孔内时会撞刀，建立的方向是如上图，刀尖朝向X正方向，这样方便观察刀尖的磨损情况，编程时仅X往负方向走一个偏心距离。</t>
  </si>
  <si>
    <t>2、刀具径向调试：刀具安装后按程序走到孔上方，保持主轴定向，手动移动刀具进入孔内，机床复位，用手让刀具左右微转均需要有少量间隙，这说明在自动运行时刀具进入孔内时不会擦到孔壁。</t>
  </si>
  <si>
    <t>3、刀具轴向调试：同上，刀具按程序走到设定的Z位置时，看程序和坐标确认刀尖是否露出，如果刀尖还在孔里那在下一步时会撞刀，如果刀具露出太少则倒角会很大。若不熟悉时请先单段空走了解程序运行路径。</t>
  </si>
  <si>
    <t>用宏程序方式编辑的主程序</t>
  </si>
  <si>
    <t>程序</t>
  </si>
  <si>
    <t>说明</t>
  </si>
  <si>
    <t>特别注意</t>
  </si>
  <si>
    <t>T1 M6</t>
  </si>
  <si>
    <t>模态调用子(宏)程序
式中：X/Y：刀具偏心距离
      Z：下刀深度
      H：向上提刀距离，缺省为3
      S：主轴转速，缺省为4000
      F：进给进度，缺省为100
      W：退刀安全高度，缺省为100</t>
  </si>
  <si>
    <t>1、新代系统编程不能有任何缺省值
2、刀具偏心距离见表中P，或者订货号最后的数字
3、下刀深度Z=-（壁厚+LH+安全距离），一般安全距离按2mm，LH在新刀时和修磨后不一样，根据实际调整</t>
  </si>
  <si>
    <t>G54 G43 H1 Z100</t>
  </si>
  <si>
    <t>G66 P8130 X-1.5 Y0 Z-20. H3. S2000 F300 W100.</t>
  </si>
  <si>
    <t>G0 G90 G16 X55 Y0</t>
  </si>
  <si>
    <t>孔1,坐标系</t>
  </si>
  <si>
    <t>1、第一个孔的坐标一定要在G66的下一行。
2、不能使用G91方式
3、是否每个点前加G90根据机床决定（最好加上）
4、根据编程方式决定是否使用G16</t>
  </si>
  <si>
    <t>G90 G16 X55 Y90</t>
  </si>
  <si>
    <t>孔2</t>
  </si>
  <si>
    <t>G90 G16 X55 Y180</t>
  </si>
  <si>
    <t>孔3</t>
  </si>
  <si>
    <t>G90 G16 X55 Y270</t>
  </si>
  <si>
    <t>孔4</t>
  </si>
  <si>
    <r>
      <rPr>
        <sz val="10"/>
        <color rgb="FF000000"/>
        <rFont val="宋体"/>
        <charset val="134"/>
      </rPr>
      <t xml:space="preserve">G90 G16 X55 Y0 </t>
    </r>
    <r>
      <rPr>
        <b/>
        <sz val="10"/>
        <color rgb="FFFF0000"/>
        <rFont val="宋体"/>
        <charset val="134"/>
      </rPr>
      <t>G55</t>
    </r>
  </si>
  <si>
    <t>G67</t>
  </si>
  <si>
    <t xml:space="preserve">取消模态调用子(宏)程序
</t>
  </si>
  <si>
    <t>单独一行，否则可能冲突</t>
  </si>
  <si>
    <t>G15</t>
  </si>
  <si>
    <t>取消极坐标指令</t>
  </si>
  <si>
    <t>M30</t>
  </si>
  <si>
    <t>搞机有风险，调试需谨慎</t>
  </si>
  <si>
    <t>杭州希恩希拓斯精密机械有限公司  宣</t>
  </si>
  <si>
    <t>RDE系列快速选刀及编程</t>
  </si>
  <si>
    <t>搞机有风险
调试需谨慎</t>
  </si>
  <si>
    <t>名称</t>
  </si>
  <si>
    <t>项目</t>
  </si>
  <si>
    <t>尺寸</t>
  </si>
  <si>
    <t>理论加工时间</t>
  </si>
  <si>
    <t>孔径</t>
  </si>
  <si>
    <t>ɸA</t>
  </si>
  <si>
    <t>速度</t>
  </si>
  <si>
    <t>时间</t>
  </si>
  <si>
    <t>壁厚</t>
  </si>
  <si>
    <t>H</t>
  </si>
  <si>
    <t>定位到R点</t>
  </si>
  <si>
    <t>正面倒角</t>
  </si>
  <si>
    <t>C2</t>
  </si>
  <si>
    <t>快速下刀</t>
  </si>
  <si>
    <t>正面角度</t>
  </si>
  <si>
    <t>θ2</t>
  </si>
  <si>
    <t>G1靠近</t>
  </si>
  <si>
    <t>反面倒角</t>
  </si>
  <si>
    <t>C1</t>
  </si>
  <si>
    <t>圆弧导入</t>
  </si>
  <si>
    <t>反面角度</t>
  </si>
  <si>
    <t>θ1</t>
  </si>
  <si>
    <t>圆弧铣削</t>
  </si>
  <si>
    <t>正面倒角径</t>
  </si>
  <si>
    <t>ɸA2</t>
  </si>
  <si>
    <t>圆弧导出</t>
  </si>
  <si>
    <t>反面倒角径</t>
  </si>
  <si>
    <t>ɸA1</t>
  </si>
  <si>
    <t>G0退刀</t>
  </si>
  <si>
    <t>C2邻边</t>
  </si>
  <si>
    <t>G0移动到下一个工位</t>
  </si>
  <si>
    <t>C1邻边</t>
  </si>
  <si>
    <t>总时间</t>
  </si>
  <si>
    <t>秒</t>
  </si>
  <si>
    <t>C2邻边匹配值</t>
  </si>
  <si>
    <t>实际节拍在理论值基础上增加0.5-3秒</t>
  </si>
  <si>
    <t>切削速度 Vc</t>
  </si>
  <si>
    <t>转速 n</t>
  </si>
  <si>
    <t>进给 F</t>
  </si>
  <si>
    <t>适配的刀具型号：</t>
  </si>
  <si>
    <t>A16H-</t>
  </si>
  <si>
    <t>刃径 ɸC max</t>
  </si>
  <si>
    <t>刀具路径半径 R</t>
  </si>
  <si>
    <t>刀具最大允许倒角</t>
  </si>
  <si>
    <t>孔下需要避开的深度</t>
  </si>
  <si>
    <t>用宏程序方式编辑的程序</t>
  </si>
  <si>
    <t>主程序</t>
  </si>
  <si>
    <t>模态调用子(宏)程序
式中：Z：刀具铣削所在深度
      R：刀具路径半径
      W：退刀安全高度(省略时为100)
      F：进给进度</t>
  </si>
  <si>
    <r>
      <rPr>
        <sz val="11"/>
        <color rgb="FF000000"/>
        <rFont val="宋体"/>
        <charset val="134"/>
      </rPr>
      <t xml:space="preserve">G0 G90 G16 </t>
    </r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Y0；</t>
    </r>
  </si>
  <si>
    <t>孔1</t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</si>
  <si>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Y90 G16；</t>
    </r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</si>
  <si>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Y180 G16；</t>
    </r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</si>
  <si>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Y270 G16；</t>
    </r>
  </si>
  <si>
    <t>G67；</t>
  </si>
  <si>
    <t>取消模态调用子(宏)程序</t>
  </si>
  <si>
    <t>G15；</t>
  </si>
  <si>
    <t>R-2DCE与RDE不一样影响编程的地方</t>
  </si>
  <si>
    <t>请注意：此项更新需更改加工程序或对刀位置</t>
  </si>
  <si>
    <t>配件信息</t>
  </si>
  <si>
    <t>刀片规格</t>
  </si>
  <si>
    <t>扳手</t>
  </si>
  <si>
    <t>螺丝</t>
  </si>
  <si>
    <r>
      <rPr>
        <sz val="10.5"/>
        <color rgb="FF000000"/>
        <rFont val="宋体"/>
        <charset val="134"/>
      </rPr>
      <t>刀片</t>
    </r>
    <r>
      <rPr>
        <sz val="10.5"/>
        <color rgb="FF000000"/>
        <rFont val="Wingdings"/>
        <charset val="134"/>
      </rPr>
      <t></t>
    </r>
    <r>
      <rPr>
        <sz val="10.5"/>
        <color rgb="FF000000"/>
        <rFont val="宋体"/>
        <charset val="134"/>
      </rPr>
      <t>：CM0502</t>
    </r>
  </si>
  <si>
    <t>T6</t>
  </si>
  <si>
    <t>M2.0</t>
  </si>
  <si>
    <r>
      <rPr>
        <sz val="10.5"/>
        <color rgb="FF000000"/>
        <rFont val="宋体"/>
        <charset val="134"/>
      </rPr>
      <t>刀片</t>
    </r>
    <r>
      <rPr>
        <sz val="10.5"/>
        <color rgb="FF000000"/>
        <rFont val="Wingdings"/>
        <charset val="134"/>
      </rPr>
      <t></t>
    </r>
    <r>
      <rPr>
        <sz val="10.5"/>
        <color rgb="FF000000"/>
        <rFont val="宋体"/>
        <charset val="134"/>
      </rPr>
      <t>：SPMG060204</t>
    </r>
  </si>
  <si>
    <t>T8</t>
  </si>
  <si>
    <t>M2.5</t>
  </si>
  <si>
    <t>RDG系列快速选刀及编程</t>
  </si>
  <si>
    <t>上倒角切削</t>
  </si>
  <si>
    <t>提刀</t>
  </si>
  <si>
    <t>铣削转速 n</t>
  </si>
  <si>
    <t>铣削进给 F</t>
  </si>
  <si>
    <t>踩孔转速倍率、转速</t>
  </si>
  <si>
    <t>踩孔进给倍率、进给</t>
  </si>
  <si>
    <t>一个刀片踩孔的按0.15，两个刀片按0.3mm/r</t>
  </si>
  <si>
    <t>头部直径和柄径</t>
  </si>
  <si>
    <t>角度</t>
  </si>
  <si>
    <t>刀具铣削所在深度 Z</t>
  </si>
  <si>
    <t>刀具踩孔所在深度 H</t>
  </si>
  <si>
    <t>Z：铣削，刀具所在深度
R：铣削，刀具路径半径
S：铣削，主轴转速(缺省为4000)
F：铣削，进给速度(缺省为300)
H：踩孔，刀具所在深度
I：踩孔，主轴转速倍率(缺省为1)
J：踩孔，进给速度倍率(缺省为1)
K：踩孔，G1向下踩的距离(缺省为3)
W：退刀，提升的高度(缺省为100)</t>
  </si>
  <si>
    <t>G0 G90 G16 X10 Y0</t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</si>
  <si>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Y90 G16</t>
    </r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</si>
  <si>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Y180 G16</t>
    </r>
  </si>
  <si>
    <r>
      <rPr>
        <u/>
        <sz val="11"/>
        <color rgb="FF000000"/>
        <rFont val="宋体"/>
        <charset val="134"/>
      </rPr>
      <t>X10</t>
    </r>
    <r>
      <rPr>
        <sz val="11"/>
        <color rgb="FF000000"/>
        <rFont val="宋体"/>
        <charset val="134"/>
      </rPr>
      <t xml:space="preserve"> Y270 G16</t>
    </r>
  </si>
  <si>
    <t>R-2DCG与RDG不一样影响编程的地方</t>
  </si>
  <si>
    <t>R-2DCE系列快速选刀及编程</t>
  </si>
  <si>
    <t>模态调用子(宏)程序
式中：Z：刀具铣削所在深度
      R：刀具路径半径
      W：退刀时提升的高度
      F：进给进度</t>
  </si>
  <si>
    <t>R-2DCG系列快速选刀及编程</t>
  </si>
  <si>
    <t>模态调用子(宏)程序
式中：H：刀具踩孔所在深度
      Z：刀具铣削所在深度
      R：刀具路径半径
      W：退刀时提升的高度
      F：进给进度</t>
  </si>
  <si>
    <t>整体硬质合金钻头——汽车轮毂轴承系列加工参数表</t>
  </si>
  <si>
    <r>
      <rPr>
        <sz val="12"/>
        <rFont val="Arial"/>
        <charset val="134"/>
      </rPr>
      <t>ɸ</t>
    </r>
    <r>
      <rPr>
        <sz val="12"/>
        <rFont val="宋体"/>
        <charset val="134"/>
      </rPr>
      <t>D(mm)</t>
    </r>
  </si>
  <si>
    <t>f(mm/r-min)</t>
  </si>
  <si>
    <r>
      <rPr>
        <sz val="12"/>
        <rFont val="宋体"/>
        <charset val="134"/>
      </rPr>
      <t>n（r</t>
    </r>
    <r>
      <rPr>
        <vertAlign val="superscript"/>
        <sz val="12"/>
        <rFont val="宋体"/>
        <charset val="134"/>
      </rPr>
      <t>-min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</si>
  <si>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f(mm/r</t>
    </r>
    <r>
      <rPr>
        <vertAlign val="superscript"/>
        <sz val="12"/>
        <rFont val="宋体"/>
        <charset val="134"/>
      </rPr>
      <t>-min</t>
    </r>
    <r>
      <rPr>
        <sz val="12"/>
        <rFont val="宋体"/>
        <charset val="134"/>
      </rPr>
      <t>)</t>
    </r>
  </si>
  <si>
    <t>F(mm/min)</t>
  </si>
  <si>
    <t>备注</t>
  </si>
  <si>
    <t>F1</t>
  </si>
  <si>
    <t>F2</t>
  </si>
  <si>
    <t>±</t>
  </si>
  <si>
    <t>基</t>
  </si>
  <si>
    <t>变</t>
  </si>
  <si>
    <t>M6*1螺纹底孔钻头</t>
  </si>
  <si>
    <t>M8*1.25螺纹底孔钻头</t>
  </si>
  <si>
    <t>M10*1.5螺纹底孔钻头</t>
  </si>
  <si>
    <t>M10*1.25螺纹底孔钻头</t>
  </si>
  <si>
    <t>M12*1.75螺纹底孔钻头</t>
  </si>
  <si>
    <t>M12*1.5螺纹底孔钻头</t>
  </si>
  <si>
    <t>M12*1.25螺纹底孔钻头</t>
  </si>
  <si>
    <t>M14*1.5螺纹底孔钻头</t>
  </si>
  <si>
    <t>转速和切削速度（线速）的切换</t>
  </si>
  <si>
    <t>直径 D</t>
  </si>
  <si>
    <t>mm</t>
  </si>
  <si>
    <t>线速 Vc</t>
  </si>
  <si>
    <t>M/min</t>
  </si>
  <si>
    <t>r/min</t>
  </si>
  <si>
    <t>每转进给和每分钟进给的切换</t>
  </si>
  <si>
    <t>每转进给 f</t>
  </si>
  <si>
    <t>mm/r</t>
  </si>
  <si>
    <t>每分进给F</t>
  </si>
  <si>
    <t>mm/min</t>
  </si>
  <si>
    <t>每分钟进给 F</t>
  </si>
  <si>
    <t>每转进给f</t>
  </si>
  <si>
    <t>1、以上参数适合加工55号碳钢正火220-250HB材料，加工40Gr或65Mn需降低参数至下限。</t>
  </si>
  <si>
    <t>2、建议线速60（50~90）M/min，以上转速若机床达不到则使用机床能达到的最高转速。</t>
  </si>
  <si>
    <t>3、阶梯钻头需适当降低参数，或者按倒角直径选取参数。</t>
  </si>
  <si>
    <t>4、初次调试时转速需降低到90%，进给降低到80%，确认稳定后上调至正常。</t>
  </si>
  <si>
    <t>5、加工过程中保证冷却液能准确喷射到切削部位。</t>
  </si>
  <si>
    <t>6、安装刀具时请使用无缺陷干净的夹头，并将钻尖径向跳动控制在0.02mm以内。</t>
  </si>
  <si>
    <t>7、若将钻尖径向跳动控制在0.01mm以内更佳，钻尖跳动越低则钻头寿命越高。</t>
  </si>
  <si>
    <t>杭州希恩希拓斯精密机械有限公司</t>
  </si>
  <si>
    <t>铣刀锥度计算器</t>
  </si>
  <si>
    <t>锥度</t>
  </si>
  <si>
    <t>切削直径</t>
  </si>
  <si>
    <t>柄径</t>
  </si>
  <si>
    <t>余偏角</t>
  </si>
  <si>
    <t>切刃长</t>
  </si>
  <si>
    <t>任意刃长</t>
  </si>
  <si>
    <t>直径</t>
  </si>
  <si>
    <t>简易计算器</t>
  </si>
  <si>
    <t>1：A</t>
  </si>
  <si>
    <t>DC</t>
  </si>
  <si>
    <t>DCON</t>
  </si>
  <si>
    <t>BHTA</t>
  </si>
  <si>
    <t>LE</t>
  </si>
  <si>
    <t>LH</t>
  </si>
  <si>
    <t>DC2</t>
  </si>
  <si>
    <t>根据锥度求角度和长度</t>
  </si>
  <si>
    <t>在刃的长度上任意取一个点求其直径</t>
  </si>
  <si>
    <t>根据角度求锥度和长度</t>
  </si>
  <si>
    <t>度分秒的转换</t>
  </si>
  <si>
    <t>度</t>
  </si>
  <si>
    <t>分</t>
  </si>
  <si>
    <t>度（十进制）</t>
  </si>
  <si>
    <t>度*2</t>
  </si>
  <si>
    <t>度/2</t>
  </si>
  <si>
    <t>使用方法：
    在任意行中黄色区域输入已知数据，当前行的其它区域会自动计算。
    上面是用于锥度铣刀尺寸计算，下面是角度的转换，应对不同标注方式的图纸，统一转换成十进制角度后再计算刀具尺寸。
    制定：2018-1-30</t>
  </si>
  <si>
    <t>三角函数计算器</t>
  </si>
  <si>
    <t>标准公式</t>
  </si>
  <si>
    <t>正弦sinα=a/c</t>
  </si>
  <si>
    <t>余弦cosα=b/c</t>
  </si>
  <si>
    <t>正切tanα=a/b</t>
  </si>
  <si>
    <t>左侧公式</t>
  </si>
  <si>
    <t>α</t>
  </si>
  <si>
    <t>a</t>
  </si>
  <si>
    <t>b</t>
  </si>
  <si>
    <t>c</t>
  </si>
  <si>
    <t>右侧公式</t>
  </si>
  <si>
    <t>b=a/cosα</t>
  </si>
  <si>
    <t>c=a/sinα</t>
  </si>
  <si>
    <t>a=tanα*b</t>
  </si>
  <si>
    <t>c=b/cosα</t>
  </si>
  <si>
    <t>a=sinα*c</t>
  </si>
  <si>
    <t>b=cosα*c</t>
  </si>
  <si>
    <t>α=asin(a/c)</t>
  </si>
  <si>
    <t>α=acos(b/c)</t>
  </si>
  <si>
    <t>α=atan(a/b)</t>
  </si>
  <si>
    <t>简易计算区</t>
  </si>
  <si>
    <t>比例换算器</t>
  </si>
  <si>
    <t>=</t>
  </si>
  <si>
    <t>说明：在任意行中黄色区域输入已知数据，其它绿色区域会自动计算出另外的值。</t>
  </si>
  <si>
    <t>设计：2019-4-7</t>
  </si>
  <si>
    <t>钻孔深度计算器</t>
  </si>
  <si>
    <t>顶角</t>
  </si>
  <si>
    <t>钻尖长</t>
  </si>
  <si>
    <t>通孔壁厚
或盲孔深度</t>
  </si>
  <si>
    <t>通孔加工
延伸深度</t>
  </si>
  <si>
    <t>通孔编
程深度</t>
  </si>
  <si>
    <t>盲孔编
程深度</t>
  </si>
  <si>
    <t>SIG</t>
  </si>
  <si>
    <t>PL</t>
  </si>
  <si>
    <t>切削速度计算器</t>
  </si>
  <si>
    <t>齿数</t>
  </si>
  <si>
    <t>z</t>
  </si>
  <si>
    <t>切屑厚度</t>
  </si>
  <si>
    <t>右侧是使用不同主偏角的面铣刀理论进给</t>
  </si>
  <si>
    <t>主偏角</t>
  </si>
  <si>
    <t>比例关系</t>
  </si>
  <si>
    <t>每齿进给fz</t>
  </si>
  <si>
    <t>说明：在任意行中黄色区域输入已知数据，其它区域会自动计算出所需的值。</t>
  </si>
  <si>
    <t>制定：2019-4-7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</si>
</sst>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177" formatCode="0.0_ "/>
    <numFmt numFmtId="178" formatCode="0_ "/>
    <numFmt numFmtId="44" formatCode="_ &quot;￥&quot;* #,##0.00_ ;_ &quot;￥&quot;* \-#,##0.00_ ;_ &quot;￥&quot;* &quot;-&quot;??_ ;_ @_ "/>
    <numFmt numFmtId="179" formatCode="0.000_ "/>
    <numFmt numFmtId="180" formatCode="0.00_);[Red]\(0.00\)"/>
    <numFmt numFmtId="43" formatCode="_ * #,##0.00_ ;_ * \-#,##0.00_ ;_ * &quot;-&quot;??_ ;_ @_ "/>
    <numFmt numFmtId="181" formatCode="0.0000_ "/>
    <numFmt numFmtId="182" formatCode="000"/>
  </numFmts>
  <fonts count="5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Arial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Arial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1"/>
      <color theme="0" tint="-0.5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00"/>
      <name val="宋体"/>
      <charset val="134"/>
    </font>
    <font>
      <b/>
      <sz val="18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0"/>
      <name val="宋体"/>
      <charset val="134"/>
      <scheme val="minor"/>
    </font>
    <font>
      <sz val="10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b/>
      <sz val="10"/>
      <color rgb="FF000000"/>
      <name val="宋体"/>
      <charset val="134"/>
    </font>
    <font>
      <b/>
      <sz val="22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vertAlign val="superscript"/>
      <sz val="12"/>
      <name val="宋体"/>
      <charset val="134"/>
    </font>
    <font>
      <sz val="10.5"/>
      <color rgb="FF000000"/>
      <name val="Wingdings"/>
      <charset val="134"/>
    </font>
    <font>
      <b/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7" fillId="19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6" borderId="3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49" fillId="0" borderId="33" applyNumberFormat="0" applyFill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50" fillId="0" borderId="34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15" borderId="29" applyNumberFormat="0" applyAlignment="0" applyProtection="0">
      <alignment vertical="center"/>
    </xf>
    <xf numFmtId="0" fontId="54" fillId="15" borderId="31" applyNumberFormat="0" applyAlignment="0" applyProtection="0">
      <alignment vertical="center"/>
    </xf>
    <xf numFmtId="0" fontId="48" fillId="22" borderId="32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268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179" fontId="0" fillId="0" borderId="1" xfId="0" applyNumberForma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hidden="1"/>
    </xf>
    <xf numFmtId="177" fontId="5" fillId="0" borderId="2" xfId="0" applyNumberFormat="1" applyFont="1" applyFill="1" applyBorder="1" applyAlignment="1" applyProtection="1">
      <alignment horizontal="left" vertical="center"/>
      <protection hidden="1"/>
    </xf>
    <xf numFmtId="177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4" xfId="0" applyFont="1" applyFill="1" applyBorder="1" applyAlignment="1" applyProtection="1">
      <alignment horizontal="center" vertical="center"/>
      <protection hidden="1"/>
    </xf>
    <xf numFmtId="176" fontId="6" fillId="0" borderId="5" xfId="0" applyNumberFormat="1" applyFont="1" applyFill="1" applyBorder="1" applyAlignment="1" applyProtection="1">
      <alignment horizontal="center" vertical="center"/>
      <protection hidden="1"/>
    </xf>
    <xf numFmtId="17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hidden="1"/>
    </xf>
    <xf numFmtId="0" fontId="6" fillId="0" borderId="6" xfId="0" applyFont="1" applyFill="1" applyBorder="1" applyAlignment="1" applyProtection="1">
      <alignment horizontal="center" vertical="center"/>
      <protection hidden="1"/>
    </xf>
    <xf numFmtId="176" fontId="6" fillId="0" borderId="7" xfId="0" applyNumberFormat="1" applyFont="1" applyFill="1" applyBorder="1" applyAlignment="1" applyProtection="1">
      <alignment horizontal="center" vertical="center"/>
      <protection hidden="1"/>
    </xf>
    <xf numFmtId="178" fontId="7" fillId="0" borderId="8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9" xfId="0" applyFont="1" applyFill="1" applyBorder="1" applyAlignment="1" applyProtection="1">
      <alignment horizontal="center" vertical="center"/>
      <protection hidden="1"/>
    </xf>
    <xf numFmtId="177" fontId="5" fillId="0" borderId="0" xfId="0" applyNumberFormat="1" applyFont="1" applyFill="1" applyAlignment="1" applyProtection="1">
      <alignment horizontal="center" vertical="center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176" fontId="6" fillId="0" borderId="0" xfId="0" applyNumberFormat="1" applyFont="1" applyFill="1" applyAlignment="1" applyProtection="1">
      <alignment horizontal="center" vertical="center"/>
      <protection hidden="1"/>
    </xf>
    <xf numFmtId="176" fontId="8" fillId="0" borderId="8" xfId="0" applyNumberFormat="1" applyFont="1" applyFill="1" applyBorder="1" applyAlignment="1" applyProtection="1">
      <alignment vertical="center" shrinkToFit="1"/>
      <protection hidden="1"/>
    </xf>
    <xf numFmtId="177" fontId="5" fillId="0" borderId="4" xfId="0" applyNumberFormat="1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6" fillId="0" borderId="10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6" fillId="0" borderId="0" xfId="0" applyFont="1" applyFill="1" applyAlignment="1" applyProtection="1">
      <alignment horizontal="left" vertical="center"/>
      <protection hidden="1"/>
    </xf>
    <xf numFmtId="0" fontId="9" fillId="0" borderId="1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176" fontId="11" fillId="0" borderId="1" xfId="0" applyNumberFormat="1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180" fontId="0" fillId="3" borderId="1" xfId="0" applyNumberForma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176" fontId="0" fillId="0" borderId="1" xfId="0" applyNumberFormat="1" applyBorder="1" applyAlignment="1" applyProtection="1">
      <alignment horizontal="center" vertical="center"/>
      <protection hidden="1"/>
    </xf>
    <xf numFmtId="176" fontId="6" fillId="0" borderId="11" xfId="0" applyNumberFormat="1" applyFont="1" applyFill="1" applyBorder="1" applyAlignment="1" applyProtection="1">
      <alignment horizontal="center" vertical="center"/>
      <protection hidden="1"/>
    </xf>
    <xf numFmtId="176" fontId="6" fillId="0" borderId="10" xfId="0" applyNumberFormat="1" applyFont="1" applyFill="1" applyBorder="1" applyAlignment="1" applyProtection="1">
      <alignment horizontal="center" vertical="center"/>
      <protection hidden="1"/>
    </xf>
    <xf numFmtId="178" fontId="6" fillId="0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>
      <alignment horizontal="left" vertical="center"/>
      <protection hidden="1"/>
    </xf>
    <xf numFmtId="179" fontId="6" fillId="0" borderId="1" xfId="0" applyNumberFormat="1" applyFont="1" applyFill="1" applyBorder="1" applyAlignment="1" applyProtection="1">
      <alignment horizontal="center" vertical="center"/>
      <protection hidden="1"/>
    </xf>
    <xf numFmtId="178" fontId="0" fillId="3" borderId="1" xfId="0" applyNumberFormat="1" applyFill="1" applyBorder="1" applyAlignment="1" applyProtection="1">
      <alignment horizontal="center"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Font="1" applyBorder="1" applyProtection="1">
      <alignment vertical="center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0" borderId="0" xfId="0" applyFill="1" applyProtection="1">
      <alignment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locked="0"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2" borderId="1" xfId="0" applyFill="1" applyBorder="1" applyProtection="1">
      <alignment vertical="center"/>
      <protection locked="0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179" fontId="0" fillId="0" borderId="0" xfId="0" applyNumberFormat="1" applyProtection="1">
      <alignment vertical="center"/>
      <protection hidden="1"/>
    </xf>
    <xf numFmtId="0" fontId="0" fillId="2" borderId="12" xfId="0" applyNumberFormat="1" applyFill="1" applyBorder="1" applyAlignment="1" applyProtection="1">
      <alignment horizontal="center" vertical="center"/>
      <protection locked="0"/>
    </xf>
    <xf numFmtId="0" fontId="0" fillId="0" borderId="5" xfId="0" applyNumberFormat="1" applyBorder="1" applyAlignment="1" applyProtection="1">
      <alignment horizontal="center" vertical="center"/>
      <protection hidden="1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3" borderId="1" xfId="0" applyNumberFormat="1" applyFill="1" applyBorder="1" applyAlignment="1" applyProtection="1">
      <alignment horizontal="center" vertical="center"/>
      <protection hidden="1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7" xfId="0" applyNumberFormat="1" applyBorder="1" applyAlignment="1" applyProtection="1">
      <alignment horizontal="center" vertical="center"/>
      <protection hidden="1"/>
    </xf>
    <xf numFmtId="0" fontId="0" fillId="3" borderId="15" xfId="0" applyNumberFormat="1" applyFill="1" applyBorder="1" applyAlignment="1" applyProtection="1">
      <alignment horizontal="center" vertical="center"/>
      <protection hidden="1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Border="1" applyAlignment="1" applyProtection="1">
      <alignment horizontal="center" vertical="center"/>
      <protection hidden="1"/>
    </xf>
    <xf numFmtId="0" fontId="0" fillId="0" borderId="0" xfId="0" applyNumberFormat="1" applyProtection="1">
      <alignment vertical="center"/>
      <protection hidden="1"/>
    </xf>
    <xf numFmtId="0" fontId="10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181" fontId="0" fillId="0" borderId="1" xfId="0" applyNumberFormat="1" applyBorder="1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181" fontId="0" fillId="0" borderId="1" xfId="0" applyNumberFormat="1" applyFill="1" applyBorder="1" applyAlignment="1" applyProtection="1">
      <alignment horizontal="right" vertical="center"/>
      <protection hidden="1"/>
    </xf>
    <xf numFmtId="0" fontId="11" fillId="2" borderId="1" xfId="0" applyNumberFormat="1" applyFont="1" applyFill="1" applyBorder="1" applyAlignment="1" applyProtection="1">
      <alignment horizontal="center" vertical="center"/>
      <protection locked="0"/>
    </xf>
    <xf numFmtId="179" fontId="0" fillId="0" borderId="1" xfId="0" applyNumberFormat="1" applyBorder="1" applyAlignment="1" applyProtection="1">
      <alignment horizontal="right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hidden="1"/>
    </xf>
    <xf numFmtId="0" fontId="2" fillId="0" borderId="16" xfId="0" applyFont="1" applyFill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181" fontId="0" fillId="0" borderId="1" xfId="0" applyNumberFormat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17" xfId="0" applyBorder="1" applyAlignment="1" applyProtection="1">
      <alignment horizontal="left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left" vertical="top" wrapText="1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11" xfId="0" applyFont="1" applyFill="1" applyBorder="1" applyAlignment="1" applyProtection="1">
      <alignment horizontal="center" vertical="center"/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10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Alignment="1" applyProtection="1">
      <alignment horizontal="left" vertical="center"/>
      <protection hidden="1"/>
    </xf>
    <xf numFmtId="0" fontId="15" fillId="0" borderId="1" xfId="0" applyFont="1" applyFill="1" applyBorder="1" applyAlignment="1" applyProtection="1">
      <alignment horizontal="center" vertical="center" wrapText="1"/>
      <protection hidden="1"/>
    </xf>
    <xf numFmtId="0" fontId="16" fillId="0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16" fillId="0" borderId="9" xfId="0" applyFont="1" applyFill="1" applyBorder="1" applyAlignment="1" applyProtection="1">
      <alignment horizontal="center" vertical="center"/>
      <protection hidden="1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6" fontId="16" fillId="0" borderId="1" xfId="0" applyNumberFormat="1" applyFont="1" applyFill="1" applyBorder="1" applyAlignment="1" applyProtection="1">
      <alignment horizontal="center" vertical="center"/>
      <protection hidden="1"/>
    </xf>
    <xf numFmtId="176" fontId="16" fillId="0" borderId="0" xfId="0" applyNumberFormat="1" applyFont="1" applyFill="1" applyAlignment="1" applyProtection="1">
      <alignment horizontal="center" vertical="center"/>
      <protection hidden="1"/>
    </xf>
    <xf numFmtId="177" fontId="5" fillId="0" borderId="16" xfId="0" applyNumberFormat="1" applyFont="1" applyFill="1" applyBorder="1" applyAlignment="1" applyProtection="1">
      <alignment horizontal="left" vertical="center"/>
      <protection hidden="1"/>
    </xf>
    <xf numFmtId="176" fontId="16" fillId="0" borderId="5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Fill="1" applyBorder="1" applyAlignment="1" applyProtection="1">
      <alignment horizontal="center" vertical="center"/>
      <protection hidden="1"/>
    </xf>
    <xf numFmtId="177" fontId="5" fillId="0" borderId="2" xfId="0" applyNumberFormat="1" applyFont="1" applyFill="1" applyBorder="1" applyAlignment="1" applyProtection="1">
      <alignment horizontal="center" vertical="center"/>
      <protection hidden="1"/>
    </xf>
    <xf numFmtId="177" fontId="5" fillId="0" borderId="3" xfId="0" applyNumberFormat="1" applyFont="1" applyFill="1" applyBorder="1" applyAlignment="1" applyProtection="1">
      <alignment horizontal="center" vertical="center"/>
      <protection hidden="1"/>
    </xf>
    <xf numFmtId="177" fontId="5" fillId="0" borderId="8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Alignment="1" applyProtection="1">
      <alignment horizontal="left" vertical="center"/>
      <protection hidden="1"/>
    </xf>
    <xf numFmtId="0" fontId="6" fillId="0" borderId="4" xfId="0" applyFont="1" applyFill="1" applyBorder="1" applyAlignment="1" applyProtection="1">
      <alignment vertical="center"/>
      <protection hidden="1"/>
    </xf>
    <xf numFmtId="0" fontId="6" fillId="0" borderId="6" xfId="0" applyFont="1" applyFill="1" applyBorder="1" applyAlignment="1" applyProtection="1">
      <alignment vertical="center"/>
      <protection hidden="1"/>
    </xf>
    <xf numFmtId="0" fontId="6" fillId="0" borderId="9" xfId="0" applyFont="1" applyFill="1" applyBorder="1" applyAlignment="1" applyProtection="1">
      <alignment vertical="center"/>
      <protection hidden="1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Alignment="1" applyProtection="1">
      <alignment vertical="center"/>
      <protection hidden="1"/>
    </xf>
    <xf numFmtId="178" fontId="6" fillId="0" borderId="0" xfId="0" applyNumberFormat="1" applyFont="1" applyFill="1" applyAlignment="1" applyProtection="1">
      <alignment horizontal="center" vertical="center"/>
      <protection hidden="1"/>
    </xf>
    <xf numFmtId="0" fontId="6" fillId="0" borderId="5" xfId="0" applyFont="1" applyFill="1" applyBorder="1" applyAlignment="1" applyProtection="1">
      <alignment vertical="center"/>
      <protection hidden="1"/>
    </xf>
    <xf numFmtId="178" fontId="6" fillId="0" borderId="5" xfId="0" applyNumberFormat="1" applyFont="1" applyFill="1" applyBorder="1" applyAlignment="1" applyProtection="1">
      <alignment horizontal="center" vertical="center"/>
      <protection hidden="1"/>
    </xf>
    <xf numFmtId="178" fontId="7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7" xfId="0" applyFont="1" applyFill="1" applyBorder="1" applyAlignment="1" applyProtection="1">
      <alignment horizontal="center" vertical="center"/>
      <protection hidden="1"/>
    </xf>
    <xf numFmtId="176" fontId="8" fillId="0" borderId="1" xfId="0" applyNumberFormat="1" applyFont="1" applyFill="1" applyBorder="1" applyAlignment="1" applyProtection="1">
      <alignment vertical="center" shrinkToFit="1"/>
      <protection hidden="1"/>
    </xf>
    <xf numFmtId="178" fontId="6" fillId="0" borderId="2" xfId="0" applyNumberFormat="1" applyFont="1" applyFill="1" applyBorder="1" applyAlignment="1" applyProtection="1">
      <alignment horizontal="center" vertical="center"/>
      <protection hidden="1"/>
    </xf>
    <xf numFmtId="178" fontId="6" fillId="0" borderId="8" xfId="0" applyNumberFormat="1" applyFont="1" applyFill="1" applyBorder="1" applyAlignment="1" applyProtection="1">
      <alignment horizontal="center" vertical="center"/>
      <protection hidden="1"/>
    </xf>
    <xf numFmtId="179" fontId="6" fillId="0" borderId="2" xfId="0" applyNumberFormat="1" applyFont="1" applyFill="1" applyBorder="1" applyAlignment="1" applyProtection="1">
      <alignment horizontal="center" vertical="center"/>
      <protection hidden="1"/>
    </xf>
    <xf numFmtId="179" fontId="6" fillId="0" borderId="8" xfId="0" applyNumberFormat="1" applyFont="1" applyFill="1" applyBorder="1" applyAlignment="1" applyProtection="1">
      <alignment horizontal="center" vertical="center"/>
      <protection hidden="1"/>
    </xf>
    <xf numFmtId="0" fontId="6" fillId="0" borderId="11" xfId="0" applyFont="1" applyFill="1" applyBorder="1" applyAlignment="1" applyProtection="1">
      <alignment horizontal="center" vertical="center"/>
      <protection hidden="1"/>
    </xf>
    <xf numFmtId="0" fontId="6" fillId="0" borderId="17" xfId="0" applyFont="1" applyFill="1" applyBorder="1" applyAlignment="1" applyProtection="1">
      <alignment horizontal="center" vertical="center"/>
      <protection hidden="1"/>
    </xf>
    <xf numFmtId="0" fontId="6" fillId="0" borderId="5" xfId="0" applyFont="1" applyFill="1" applyBorder="1" applyAlignment="1" applyProtection="1">
      <alignment horizontal="left" vertical="center"/>
      <protection hidden="1"/>
    </xf>
    <xf numFmtId="0" fontId="6" fillId="0" borderId="11" xfId="0" applyFont="1" applyFill="1" applyBorder="1" applyAlignment="1" applyProtection="1">
      <alignment horizontal="left" vertical="center"/>
      <protection hidden="1"/>
    </xf>
    <xf numFmtId="0" fontId="6" fillId="0" borderId="17" xfId="0" applyFont="1" applyFill="1" applyBorder="1" applyAlignment="1" applyProtection="1">
      <alignment horizontal="left" vertical="center"/>
      <protection hidden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7" fontId="11" fillId="2" borderId="1" xfId="0" applyNumberFormat="1" applyFont="1" applyFill="1" applyBorder="1" applyAlignment="1" applyProtection="1">
      <alignment horizontal="center" vertical="center"/>
      <protection locked="0"/>
    </xf>
    <xf numFmtId="176" fontId="18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78" fontId="11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182" fontId="0" fillId="0" borderId="3" xfId="0" applyNumberFormat="1" applyFill="1" applyBorder="1" applyAlignment="1">
      <alignment horizontal="center" vertical="center"/>
    </xf>
    <xf numFmtId="182" fontId="0" fillId="0" borderId="8" xfId="0" applyNumberFormat="1" applyFill="1" applyBorder="1" applyAlignment="1">
      <alignment horizontal="center" vertical="center"/>
    </xf>
    <xf numFmtId="182" fontId="0" fillId="2" borderId="3" xfId="0" applyNumberFormat="1" applyFill="1" applyBorder="1" applyAlignment="1" applyProtection="1">
      <alignment horizontal="center" vertical="center"/>
      <protection locked="0"/>
    </xf>
    <xf numFmtId="182" fontId="0" fillId="2" borderId="8" xfId="0" applyNumberFormat="1" applyFill="1" applyBorder="1" applyAlignment="1" applyProtection="1">
      <alignment horizontal="center" vertical="center"/>
      <protection locked="0"/>
    </xf>
    <xf numFmtId="176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9" fillId="0" borderId="1" xfId="0" applyFont="1" applyFill="1" applyBorder="1" applyAlignment="1">
      <alignment horizontal="justify" vertical="center" wrapText="1"/>
    </xf>
    <xf numFmtId="0" fontId="20" fillId="0" borderId="1" xfId="0" applyFont="1" applyFill="1" applyBorder="1" applyAlignment="1">
      <alignment horizontal="justify" vertical="center" wrapText="1"/>
    </xf>
    <xf numFmtId="0" fontId="21" fillId="0" borderId="1" xfId="0" applyFont="1" applyFill="1" applyBorder="1" applyAlignment="1">
      <alignment horizontal="justify" vertical="center" wrapText="1"/>
    </xf>
    <xf numFmtId="0" fontId="0" fillId="0" borderId="1" xfId="0" applyFont="1" applyFill="1" applyBorder="1">
      <alignment vertical="center"/>
    </xf>
    <xf numFmtId="178" fontId="18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shrinkToFit="1"/>
    </xf>
    <xf numFmtId="178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182" fontId="10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82" fontId="10" fillId="0" borderId="8" xfId="0" applyNumberFormat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182" fontId="10" fillId="2" borderId="7" xfId="0" applyNumberFormat="1" applyFont="1" applyFill="1" applyBorder="1" applyAlignment="1" applyProtection="1">
      <alignment horizontal="center" vertical="center"/>
      <protection locked="0"/>
    </xf>
    <xf numFmtId="0" fontId="0" fillId="0" borderId="7" xfId="0" applyFill="1" applyBorder="1" applyAlignment="1">
      <alignment horizontal="center" vertical="center"/>
    </xf>
    <xf numFmtId="182" fontId="10" fillId="2" borderId="10" xfId="0" applyNumberFormat="1" applyFont="1" applyFill="1" applyBorder="1" applyAlignment="1" applyProtection="1">
      <alignment horizontal="center" vertical="center"/>
      <protection locked="0"/>
    </xf>
    <xf numFmtId="0" fontId="25" fillId="0" borderId="19" xfId="0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/>
    </xf>
    <xf numFmtId="0" fontId="25" fillId="0" borderId="22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27" fillId="0" borderId="24" xfId="0" applyFont="1" applyFill="1" applyBorder="1" applyAlignment="1">
      <alignment horizontal="center" vertical="center"/>
    </xf>
    <xf numFmtId="0" fontId="27" fillId="0" borderId="25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top" wrapText="1"/>
    </xf>
    <xf numFmtId="0" fontId="24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9" fillId="0" borderId="0" xfId="0" applyFont="1" applyFill="1" applyAlignment="1">
      <alignment horizontal="justify" vertical="center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2" fillId="0" borderId="1" xfId="0" applyFont="1" applyFill="1" applyBorder="1" applyAlignment="1">
      <alignment horizontal="justify" vertical="center" wrapText="1"/>
    </xf>
    <xf numFmtId="0" fontId="31" fillId="0" borderId="0" xfId="0" applyFont="1" applyFill="1" applyAlignment="1">
      <alignment horizontal="left" vertical="center" wrapText="1"/>
    </xf>
    <xf numFmtId="0" fontId="30" fillId="0" borderId="0" xfId="0" applyFont="1" applyFill="1" applyAlignment="1">
      <alignment horizontal="center" vertical="center" wrapText="1"/>
    </xf>
    <xf numFmtId="0" fontId="24" fillId="0" borderId="0" xfId="0" applyFont="1">
      <alignment vertical="center"/>
    </xf>
    <xf numFmtId="0" fontId="3" fillId="0" borderId="27" xfId="0" applyFont="1" applyBorder="1" applyAlignment="1">
      <alignment horizontal="left" vertical="center"/>
    </xf>
    <xf numFmtId="0" fontId="10" fillId="0" borderId="27" xfId="0" applyFont="1" applyBorder="1">
      <alignment vertical="center"/>
    </xf>
    <xf numFmtId="0" fontId="33" fillId="0" borderId="22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7" xfId="0" applyFont="1" applyBorder="1" applyAlignment="1">
      <alignment vertical="center"/>
    </xf>
    <xf numFmtId="0" fontId="33" fillId="0" borderId="25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/>
    </xf>
    <xf numFmtId="0" fontId="33" fillId="0" borderId="20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24" xfId="0" applyFont="1" applyBorder="1" applyAlignment="1">
      <alignment horizontal="center"/>
    </xf>
    <xf numFmtId="0" fontId="33" fillId="0" borderId="25" xfId="0" applyFont="1" applyBorder="1" applyAlignment="1">
      <alignment horizontal="center"/>
    </xf>
    <xf numFmtId="0" fontId="33" fillId="0" borderId="26" xfId="0" applyFont="1" applyBorder="1" applyAlignment="1">
      <alignment horizontal="center"/>
    </xf>
    <xf numFmtId="0" fontId="24" fillId="0" borderId="27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178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justify" vertical="center" wrapText="1"/>
    </xf>
    <xf numFmtId="178" fontId="35" fillId="0" borderId="0" xfId="0" applyNumberFormat="1" applyFont="1" applyAlignment="1">
      <alignment horizontal="center" vertical="center"/>
    </xf>
    <xf numFmtId="178" fontId="36" fillId="0" borderId="0" xfId="0" applyNumberFormat="1" applyFont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2" fillId="0" borderId="16" xfId="0" applyFont="1" applyFill="1" applyBorder="1" applyAlignment="1">
      <alignment horizontal="left" vertical="top" wrapText="1"/>
    </xf>
    <xf numFmtId="0" fontId="32" fillId="0" borderId="5" xfId="0" applyFont="1" applyFill="1" applyBorder="1" applyAlignment="1">
      <alignment horizontal="left" vertical="top" wrapText="1"/>
    </xf>
    <xf numFmtId="0" fontId="32" fillId="0" borderId="28" xfId="0" applyFont="1" applyFill="1" applyBorder="1" applyAlignment="1">
      <alignment horizontal="left" vertical="top" wrapText="1"/>
    </xf>
    <xf numFmtId="0" fontId="32" fillId="0" borderId="0" xfId="0" applyFont="1" applyFill="1" applyAlignment="1">
      <alignment horizontal="left" vertical="top" wrapText="1"/>
    </xf>
    <xf numFmtId="0" fontId="32" fillId="0" borderId="18" xfId="0" applyFont="1" applyFill="1" applyBorder="1" applyAlignment="1">
      <alignment horizontal="left" vertical="top" wrapText="1"/>
    </xf>
    <xf numFmtId="0" fontId="32" fillId="0" borderId="7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32" fillId="0" borderId="11" xfId="0" applyFont="1" applyFill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32" fillId="0" borderId="17" xfId="0" applyFont="1" applyFill="1" applyBorder="1" applyAlignment="1">
      <alignment horizontal="left" vertical="top" wrapText="1"/>
    </xf>
    <xf numFmtId="0" fontId="10" fillId="0" borderId="28" xfId="0" applyFont="1" applyBorder="1" applyAlignment="1">
      <alignment horizontal="left" vertical="top" wrapText="1"/>
    </xf>
    <xf numFmtId="0" fontId="32" fillId="0" borderId="10" xfId="0" applyFont="1" applyFill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7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5"/>
        </patternFill>
      </fill>
    </dxf>
  </dxfs>
  <tableStyles count="1" defaultTableStyle="TableStyleMedium2" defaultPivotStyle="PivotStyleLight16">
    <tableStyle name="表样式 1" pivot="0" count="1">
      <tableStyleElement type="firstRowStripe" dxfId="2"/>
    </tableStyle>
  </tableStyles>
  <colors>
    <mruColors>
      <color rgb="00A0997D"/>
      <color rgb="00F5F6F1"/>
      <color rgb="009D6944"/>
      <color rgb="00474A4B"/>
      <color rgb="009E917E"/>
      <color rgb="00A19A7F"/>
      <color rgb="00313330"/>
      <color rgb="00580707"/>
      <color rgb="00A1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jpeg"/><Relationship Id="rId1" Type="http://schemas.openxmlformats.org/officeDocument/2006/relationships/image" Target="../media/image1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emf"/></Relationships>
</file>

<file path=xl/drawings/_rels/vmlDrawing1.vml.rels><?xml version="1.0" encoding="UTF-8" standalone="yes"?>
<Relationships xmlns="http://schemas.openxmlformats.org/package/2006/relationships"><Relationship Id="rId4" Type="http://schemas.openxmlformats.org/officeDocument/2006/relationships/image" Target="../media/image19.wmf"/><Relationship Id="rId3" Type="http://schemas.openxmlformats.org/officeDocument/2006/relationships/image" Target="../media/image18.wmf"/><Relationship Id="rId2" Type="http://schemas.openxmlformats.org/officeDocument/2006/relationships/image" Target="../media/image17.wmf"/><Relationship Id="rId1" Type="http://schemas.openxmlformats.org/officeDocument/2006/relationships/image" Target="../media/image16.wmf"/></Relationships>
</file>

<file path=xl/drawings/_rels/vmlDrawing2.vml.rels><?xml version="1.0" encoding="UTF-8" standalone="yes"?>
<Relationships xmlns="http://schemas.openxmlformats.org/package/2006/relationships"><Relationship Id="rId4" Type="http://schemas.openxmlformats.org/officeDocument/2006/relationships/image" Target="../media/image25.wmf"/><Relationship Id="rId3" Type="http://schemas.openxmlformats.org/officeDocument/2006/relationships/image" Target="../media/image24.wmf"/><Relationship Id="rId2" Type="http://schemas.openxmlformats.org/officeDocument/2006/relationships/image" Target="../media/image23.wmf"/><Relationship Id="rId1" Type="http://schemas.openxmlformats.org/officeDocument/2006/relationships/image" Target="../media/image22.wmf"/></Relationships>
</file>

<file path=xl/drawings/_rels/vmlDrawing3.vml.rels><?xml version="1.0" encoding="UTF-8" standalone="yes"?>
<Relationships xmlns="http://schemas.openxmlformats.org/package/2006/relationships"><Relationship Id="rId4" Type="http://schemas.openxmlformats.org/officeDocument/2006/relationships/image" Target="../media/image19.wmf"/><Relationship Id="rId3" Type="http://schemas.openxmlformats.org/officeDocument/2006/relationships/image" Target="../media/image18.wmf"/><Relationship Id="rId2" Type="http://schemas.openxmlformats.org/officeDocument/2006/relationships/image" Target="../media/image17.wmf"/><Relationship Id="rId1" Type="http://schemas.openxmlformats.org/officeDocument/2006/relationships/image" Target="../media/image16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95250</xdr:colOff>
      <xdr:row>4</xdr:row>
      <xdr:rowOff>137160</xdr:rowOff>
    </xdr:from>
    <xdr:to>
      <xdr:col>9</xdr:col>
      <xdr:colOff>147955</xdr:colOff>
      <xdr:row>11</xdr:row>
      <xdr:rowOff>37465</xdr:rowOff>
    </xdr:to>
    <xdr:pic>
      <xdr:nvPicPr>
        <xdr:cNvPr id="5" name="图片 4" descr="DBXA (2)透明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75" y="822960"/>
          <a:ext cx="1652905" cy="1100455"/>
        </a:xfrm>
        <a:prstGeom prst="rect">
          <a:avLst/>
        </a:prstGeom>
      </xdr:spPr>
    </xdr:pic>
    <xdr:clientData/>
  </xdr:twoCellAnchor>
  <xdr:twoCellAnchor editAs="oneCell">
    <xdr:from>
      <xdr:col>11</xdr:col>
      <xdr:colOff>42545</xdr:colOff>
      <xdr:row>3</xdr:row>
      <xdr:rowOff>53340</xdr:rowOff>
    </xdr:from>
    <xdr:to>
      <xdr:col>18</xdr:col>
      <xdr:colOff>144145</xdr:colOff>
      <xdr:row>13</xdr:row>
      <xdr:rowOff>146050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42820" y="567690"/>
          <a:ext cx="1501775" cy="180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27305</xdr:colOff>
      <xdr:row>5</xdr:row>
      <xdr:rowOff>66040</xdr:rowOff>
    </xdr:from>
    <xdr:to>
      <xdr:col>23</xdr:col>
      <xdr:colOff>168275</xdr:colOff>
      <xdr:row>13</xdr:row>
      <xdr:rowOff>139700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827780" y="923290"/>
          <a:ext cx="941070" cy="144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23</xdr:col>
      <xdr:colOff>59690</xdr:colOff>
      <xdr:row>5</xdr:row>
      <xdr:rowOff>66040</xdr:rowOff>
    </xdr:from>
    <xdr:to>
      <xdr:col>27</xdr:col>
      <xdr:colOff>104775</xdr:colOff>
      <xdr:row>13</xdr:row>
      <xdr:rowOff>139700</xdr:rowOff>
    </xdr:to>
    <xdr:pic>
      <xdr:nvPicPr>
        <xdr:cNvPr id="7" name="图片 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660265" y="923290"/>
          <a:ext cx="845185" cy="144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48260</xdr:colOff>
      <xdr:row>0</xdr:row>
      <xdr:rowOff>635</xdr:rowOff>
    </xdr:from>
    <xdr:to>
      <xdr:col>22</xdr:col>
      <xdr:colOff>165100</xdr:colOff>
      <xdr:row>2</xdr:row>
      <xdr:rowOff>145415</xdr:rowOff>
    </xdr:to>
    <xdr:pic>
      <xdr:nvPicPr>
        <xdr:cNvPr id="2" name="图片 1" descr="加工图-反面倒角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48735" y="635"/>
          <a:ext cx="716915" cy="48768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15</xdr:row>
      <xdr:rowOff>36830</xdr:rowOff>
    </xdr:from>
    <xdr:to>
      <xdr:col>33</xdr:col>
      <xdr:colOff>59690</xdr:colOff>
      <xdr:row>27</xdr:row>
      <xdr:rowOff>83820</xdr:rowOff>
    </xdr:to>
    <xdr:pic>
      <xdr:nvPicPr>
        <xdr:cNvPr id="3" name="图片 2"/>
        <xdr:cNvPicPr>
          <a:picLocks noChangeAspect="1"/>
        </xdr:cNvPicPr>
      </xdr:nvPicPr>
      <xdr:blipFill>
        <a:blip r:embed="rId6"/>
        <a:srcRect t="56110"/>
        <a:stretch>
          <a:fillRect/>
        </a:stretch>
      </xdr:blipFill>
      <xdr:spPr>
        <a:xfrm>
          <a:off x="635" y="2608580"/>
          <a:ext cx="6659880" cy="21043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1171575</xdr:colOff>
      <xdr:row>1</xdr:row>
      <xdr:rowOff>64135</xdr:rowOff>
    </xdr:from>
    <xdr:to>
      <xdr:col>3</xdr:col>
      <xdr:colOff>561340</xdr:colOff>
      <xdr:row>8</xdr:row>
      <xdr:rowOff>131445</xdr:rowOff>
    </xdr:to>
    <xdr:pic>
      <xdr:nvPicPr>
        <xdr:cNvPr id="3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8425" y="302260"/>
          <a:ext cx="1607820" cy="1267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558165</xdr:colOff>
      <xdr:row>22</xdr:row>
      <xdr:rowOff>140335</xdr:rowOff>
    </xdr:from>
    <xdr:to>
      <xdr:col>6</xdr:col>
      <xdr:colOff>557530</xdr:colOff>
      <xdr:row>24</xdr:row>
      <xdr:rowOff>34925</xdr:rowOff>
    </xdr:to>
    <xdr:sp>
      <xdr:nvSpPr>
        <xdr:cNvPr id="16" name="文本框 15"/>
        <xdr:cNvSpPr txBox="1"/>
      </xdr:nvSpPr>
      <xdr:spPr>
        <a:xfrm>
          <a:off x="2973070" y="3988435"/>
          <a:ext cx="1389380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000"/>
            <a:t>推荐</a:t>
          </a:r>
          <a:r>
            <a:rPr lang="en-US" altLang="zh-CN" sz="1000"/>
            <a:t>f</a:t>
          </a:r>
          <a:r>
            <a:rPr lang="zh-CN" altLang="en-US" sz="1000"/>
            <a:t>：              </a:t>
          </a:r>
          <a:r>
            <a:rPr lang="en-US" altLang="zh-CN" sz="1000"/>
            <a:t>mm/r</a:t>
          </a:r>
          <a:endParaRPr lang="en-US" altLang="zh-CN" sz="1000"/>
        </a:p>
      </xdr:txBody>
    </xdr:sp>
    <xdr:clientData/>
  </xdr:twoCellAnchor>
  <xdr:twoCellAnchor>
    <xdr:from>
      <xdr:col>3</xdr:col>
      <xdr:colOff>539750</xdr:colOff>
      <xdr:row>20</xdr:row>
      <xdr:rowOff>166370</xdr:rowOff>
    </xdr:from>
    <xdr:to>
      <xdr:col>6</xdr:col>
      <xdr:colOff>420370</xdr:colOff>
      <xdr:row>22</xdr:row>
      <xdr:rowOff>60960</xdr:rowOff>
    </xdr:to>
    <xdr:sp>
      <xdr:nvSpPr>
        <xdr:cNvPr id="17" name="文本框 16"/>
        <xdr:cNvSpPr txBox="1"/>
      </xdr:nvSpPr>
      <xdr:spPr>
        <a:xfrm>
          <a:off x="2954655" y="3671570"/>
          <a:ext cx="1270635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900">
              <a:latin typeface="+mn-ea"/>
            </a:rPr>
            <a:t>推荐150（100~200）</a:t>
          </a:r>
          <a:endParaRPr lang="en-US" altLang="zh-CN" sz="900">
            <a:latin typeface="+mn-ea"/>
          </a:endParaRPr>
        </a:p>
      </xdr:txBody>
    </xdr:sp>
    <xdr:clientData/>
  </xdr:twoCellAnchor>
  <xdr:twoCellAnchor>
    <xdr:from>
      <xdr:col>6</xdr:col>
      <xdr:colOff>33655</xdr:colOff>
      <xdr:row>54</xdr:row>
      <xdr:rowOff>11430</xdr:rowOff>
    </xdr:from>
    <xdr:to>
      <xdr:col>7</xdr:col>
      <xdr:colOff>788035</xdr:colOff>
      <xdr:row>62</xdr:row>
      <xdr:rowOff>85725</xdr:rowOff>
    </xdr:to>
    <xdr:pic>
      <xdr:nvPicPr>
        <xdr:cNvPr id="11" name="图片 1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838575" y="9631680"/>
          <a:ext cx="1316355" cy="144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46355</xdr:colOff>
      <xdr:row>54</xdr:row>
      <xdr:rowOff>19050</xdr:rowOff>
    </xdr:from>
    <xdr:to>
      <xdr:col>1</xdr:col>
      <xdr:colOff>1028700</xdr:colOff>
      <xdr:row>62</xdr:row>
      <xdr:rowOff>93345</xdr:rowOff>
    </xdr:to>
    <xdr:pic>
      <xdr:nvPicPr>
        <xdr:cNvPr id="13" name="图片 5" descr="R-2DCG (2)-合成白底"/>
        <xdr:cNvPicPr>
          <a:picLocks noChangeAspect="1"/>
        </xdr:cNvPicPr>
      </xdr:nvPicPr>
      <xdr:blipFill>
        <a:blip r:embed="rId3"/>
        <a:srcRect l="49371"/>
        <a:stretch>
          <a:fillRect/>
        </a:stretch>
      </xdr:blipFill>
      <xdr:spPr>
        <a:xfrm>
          <a:off x="243205" y="9639300"/>
          <a:ext cx="982345" cy="1445895"/>
        </a:xfrm>
        <a:prstGeom prst="rect">
          <a:avLst/>
        </a:prstGeom>
      </xdr:spPr>
    </xdr:pic>
    <xdr:clientData/>
  </xdr:twoCellAnchor>
  <xdr:twoCellAnchor>
    <xdr:from>
      <xdr:col>1</xdr:col>
      <xdr:colOff>1156335</xdr:colOff>
      <xdr:row>54</xdr:row>
      <xdr:rowOff>160020</xdr:rowOff>
    </xdr:from>
    <xdr:to>
      <xdr:col>6</xdr:col>
      <xdr:colOff>5715</xdr:colOff>
      <xdr:row>60</xdr:row>
      <xdr:rowOff>136525</xdr:rowOff>
    </xdr:to>
    <xdr:sp>
      <xdr:nvSpPr>
        <xdr:cNvPr id="18" name="右箭头 17"/>
        <xdr:cNvSpPr/>
      </xdr:nvSpPr>
      <xdr:spPr>
        <a:xfrm>
          <a:off x="1353185" y="9780270"/>
          <a:ext cx="2457450" cy="1005205"/>
        </a:xfrm>
        <a:prstGeom prst="rightArrow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/>
            <a:t>刀具头部长度</a:t>
          </a:r>
          <a:r>
            <a:rPr lang="en-US" altLang="zh-CN" sz="1100"/>
            <a:t>LH</a:t>
          </a:r>
          <a:r>
            <a:rPr lang="zh-CN" altLang="en-US" sz="1100"/>
            <a:t>从</a:t>
          </a:r>
          <a:r>
            <a:rPr lang="en-US" altLang="zh-CN" sz="1100"/>
            <a:t>8</a:t>
          </a:r>
          <a:r>
            <a:rPr lang="zh-CN" altLang="en-US" sz="1100"/>
            <a:t>缩短为</a:t>
          </a:r>
          <a:r>
            <a:rPr lang="en-US" altLang="zh-CN" sz="1100"/>
            <a:t>6</a:t>
          </a:r>
          <a:r>
            <a:rPr lang="zh-CN" altLang="en-US" sz="1100"/>
            <a:t>，</a:t>
          </a:r>
          <a:endParaRPr lang="zh-CN" altLang="en-US" sz="1100"/>
        </a:p>
        <a:p>
          <a:pPr algn="l"/>
          <a:r>
            <a:rPr lang="zh-CN" altLang="en-US" sz="1100"/>
            <a:t>这样可减少工件下方干涉</a:t>
          </a:r>
          <a:endParaRPr lang="en-US" sz="1100"/>
        </a:p>
      </xdr:txBody>
    </xdr:sp>
    <xdr:clientData/>
  </xdr:twoCellAnchor>
  <xdr:twoCellAnchor>
    <xdr:from>
      <xdr:col>1</xdr:col>
      <xdr:colOff>143510</xdr:colOff>
      <xdr:row>59</xdr:row>
      <xdr:rowOff>17145</xdr:rowOff>
    </xdr:from>
    <xdr:to>
      <xdr:col>1</xdr:col>
      <xdr:colOff>1061720</xdr:colOff>
      <xdr:row>62</xdr:row>
      <xdr:rowOff>148590</xdr:rowOff>
    </xdr:to>
    <xdr:sp>
      <xdr:nvSpPr>
        <xdr:cNvPr id="25" name="椭圆 24"/>
        <xdr:cNvSpPr/>
      </xdr:nvSpPr>
      <xdr:spPr>
        <a:xfrm>
          <a:off x="340360" y="10494645"/>
          <a:ext cx="918210" cy="645795"/>
        </a:xfrm>
        <a:prstGeom prst="ellipse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altLang="zh-CN" sz="2000"/>
        </a:p>
      </xdr:txBody>
    </xdr:sp>
    <xdr:clientData/>
  </xdr:twoCellAnchor>
  <xdr:twoCellAnchor>
    <xdr:from>
      <xdr:col>6</xdr:col>
      <xdr:colOff>243840</xdr:colOff>
      <xdr:row>58</xdr:row>
      <xdr:rowOff>107950</xdr:rowOff>
    </xdr:from>
    <xdr:to>
      <xdr:col>7</xdr:col>
      <xdr:colOff>393065</xdr:colOff>
      <xdr:row>60</xdr:row>
      <xdr:rowOff>153670</xdr:rowOff>
    </xdr:to>
    <xdr:sp>
      <xdr:nvSpPr>
        <xdr:cNvPr id="26" name="椭圆 25"/>
        <xdr:cNvSpPr/>
      </xdr:nvSpPr>
      <xdr:spPr>
        <a:xfrm>
          <a:off x="4048760" y="10414000"/>
          <a:ext cx="711200" cy="388620"/>
        </a:xfrm>
        <a:prstGeom prst="ellipse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altLang="zh-CN" sz="2000"/>
        </a:p>
      </xdr:txBody>
    </xdr:sp>
    <xdr:clientData/>
  </xdr:twoCellAnchor>
  <xdr:twoCellAnchor editAs="oneCell">
    <xdr:from>
      <xdr:col>1</xdr:col>
      <xdr:colOff>20320</xdr:colOff>
      <xdr:row>1</xdr:row>
      <xdr:rowOff>78105</xdr:rowOff>
    </xdr:from>
    <xdr:to>
      <xdr:col>1</xdr:col>
      <xdr:colOff>1077595</xdr:colOff>
      <xdr:row>8</xdr:row>
      <xdr:rowOff>141605</xdr:rowOff>
    </xdr:to>
    <xdr:pic>
      <xdr:nvPicPr>
        <xdr:cNvPr id="14" name="图片 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17170" y="316230"/>
          <a:ext cx="1057275" cy="1263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164465</xdr:colOff>
      <xdr:row>52</xdr:row>
      <xdr:rowOff>151765</xdr:rowOff>
    </xdr:from>
    <xdr:to>
      <xdr:col>1</xdr:col>
      <xdr:colOff>920115</xdr:colOff>
      <xdr:row>54</xdr:row>
      <xdr:rowOff>13335</xdr:rowOff>
    </xdr:to>
    <xdr:sp>
      <xdr:nvSpPr>
        <xdr:cNvPr id="2" name="文本框 1"/>
        <xdr:cNvSpPr txBox="1"/>
      </xdr:nvSpPr>
      <xdr:spPr>
        <a:xfrm>
          <a:off x="361315" y="9429115"/>
          <a:ext cx="755650" cy="20447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p>
          <a:pPr algn="ctr"/>
          <a:r>
            <a:rPr lang="en-US" altLang="zh-CN" sz="1200">
              <a:solidFill>
                <a:srgbClr val="FF0000"/>
              </a:solidFill>
            </a:rPr>
            <a:t>R-2DCE</a:t>
          </a:r>
          <a:endParaRPr lang="en-US" altLang="zh-CN" sz="120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290195</xdr:colOff>
      <xdr:row>52</xdr:row>
      <xdr:rowOff>150495</xdr:rowOff>
    </xdr:from>
    <xdr:to>
      <xdr:col>7</xdr:col>
      <xdr:colOff>483870</xdr:colOff>
      <xdr:row>54</xdr:row>
      <xdr:rowOff>12065</xdr:rowOff>
    </xdr:to>
    <xdr:sp>
      <xdr:nvSpPr>
        <xdr:cNvPr id="7" name="文本框 6"/>
        <xdr:cNvSpPr txBox="1"/>
      </xdr:nvSpPr>
      <xdr:spPr>
        <a:xfrm>
          <a:off x="4095115" y="9427845"/>
          <a:ext cx="755650" cy="20447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1200">
              <a:solidFill>
                <a:srgbClr val="FF0000"/>
              </a:solidFill>
            </a:rPr>
            <a:t>RDE</a:t>
          </a:r>
          <a:endParaRPr lang="en-US" altLang="zh-CN" sz="12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529590</xdr:colOff>
      <xdr:row>22</xdr:row>
      <xdr:rowOff>137160</xdr:rowOff>
    </xdr:from>
    <xdr:to>
      <xdr:col>7</xdr:col>
      <xdr:colOff>274320</xdr:colOff>
      <xdr:row>24</xdr:row>
      <xdr:rowOff>24765</xdr:rowOff>
    </xdr:to>
    <xdr:sp>
      <xdr:nvSpPr>
        <xdr:cNvPr id="11" name="文本框 10"/>
        <xdr:cNvSpPr txBox="1"/>
      </xdr:nvSpPr>
      <xdr:spPr>
        <a:xfrm>
          <a:off x="2944495" y="3985260"/>
          <a:ext cx="1696720" cy="2305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000"/>
            <a:t>推荐</a:t>
          </a:r>
          <a:r>
            <a:rPr lang="en-US" altLang="zh-CN" sz="1000"/>
            <a:t>f</a:t>
          </a:r>
          <a:r>
            <a:rPr lang="zh-CN" altLang="en-US" sz="1000"/>
            <a:t>：              </a:t>
          </a:r>
          <a:r>
            <a:rPr lang="en-US" altLang="zh-CN" sz="1000"/>
            <a:t>mm/r</a:t>
          </a:r>
          <a:endParaRPr lang="en-US" altLang="zh-CN" sz="1000"/>
        </a:p>
      </xdr:txBody>
    </xdr:sp>
    <xdr:clientData/>
  </xdr:twoCellAnchor>
  <xdr:twoCellAnchor>
    <xdr:from>
      <xdr:col>3</xdr:col>
      <xdr:colOff>539750</xdr:colOff>
      <xdr:row>20</xdr:row>
      <xdr:rowOff>166370</xdr:rowOff>
    </xdr:from>
    <xdr:to>
      <xdr:col>6</xdr:col>
      <xdr:colOff>420370</xdr:colOff>
      <xdr:row>22</xdr:row>
      <xdr:rowOff>60960</xdr:rowOff>
    </xdr:to>
    <xdr:sp>
      <xdr:nvSpPr>
        <xdr:cNvPr id="12" name="文本框 11"/>
        <xdr:cNvSpPr txBox="1"/>
      </xdr:nvSpPr>
      <xdr:spPr>
        <a:xfrm>
          <a:off x="2954655" y="3671570"/>
          <a:ext cx="1270635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900">
              <a:latin typeface="+mn-ea"/>
            </a:rPr>
            <a:t>推荐150（100~200）</a:t>
          </a:r>
          <a:endParaRPr lang="en-US" altLang="zh-CN" sz="900">
            <a:latin typeface="+mn-ea"/>
          </a:endParaRPr>
        </a:p>
      </xdr:txBody>
    </xdr:sp>
    <xdr:clientData/>
  </xdr:twoCellAnchor>
  <xdr:twoCellAnchor>
    <xdr:from>
      <xdr:col>2</xdr:col>
      <xdr:colOff>165100</xdr:colOff>
      <xdr:row>1</xdr:row>
      <xdr:rowOff>46355</xdr:rowOff>
    </xdr:from>
    <xdr:to>
      <xdr:col>5</xdr:col>
      <xdr:colOff>325755</xdr:colOff>
      <xdr:row>8</xdr:row>
      <xdr:rowOff>113665</xdr:rowOff>
    </xdr:to>
    <xdr:pic>
      <xdr:nvPicPr>
        <xdr:cNvPr id="16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1360" y="284480"/>
          <a:ext cx="1653540" cy="1267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842010</xdr:colOff>
      <xdr:row>1</xdr:row>
      <xdr:rowOff>46990</xdr:rowOff>
    </xdr:from>
    <xdr:to>
      <xdr:col>2</xdr:col>
      <xdr:colOff>146685</xdr:colOff>
      <xdr:row>8</xdr:row>
      <xdr:rowOff>114300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38860" y="285115"/>
          <a:ext cx="934085" cy="1267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45720</xdr:colOff>
      <xdr:row>1</xdr:row>
      <xdr:rowOff>46990</xdr:rowOff>
    </xdr:from>
    <xdr:to>
      <xdr:col>1</xdr:col>
      <xdr:colOff>840740</xdr:colOff>
      <xdr:row>8</xdr:row>
      <xdr:rowOff>114300</xdr:rowOff>
    </xdr:to>
    <xdr:pic>
      <xdr:nvPicPr>
        <xdr:cNvPr id="9" name="图片 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720" y="285115"/>
          <a:ext cx="991870" cy="1267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33655</xdr:colOff>
      <xdr:row>60</xdr:row>
      <xdr:rowOff>11430</xdr:rowOff>
    </xdr:from>
    <xdr:to>
      <xdr:col>7</xdr:col>
      <xdr:colOff>788035</xdr:colOff>
      <xdr:row>68</xdr:row>
      <xdr:rowOff>85725</xdr:rowOff>
    </xdr:to>
    <xdr:pic>
      <xdr:nvPicPr>
        <xdr:cNvPr id="2" name="图片 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3838575" y="11193780"/>
          <a:ext cx="1316355" cy="1445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46355</xdr:colOff>
      <xdr:row>60</xdr:row>
      <xdr:rowOff>19050</xdr:rowOff>
    </xdr:from>
    <xdr:to>
      <xdr:col>1</xdr:col>
      <xdr:colOff>1028700</xdr:colOff>
      <xdr:row>68</xdr:row>
      <xdr:rowOff>93345</xdr:rowOff>
    </xdr:to>
    <xdr:pic>
      <xdr:nvPicPr>
        <xdr:cNvPr id="3" name="图片 5" descr="R-2DCG (2)-合成白底"/>
        <xdr:cNvPicPr>
          <a:picLocks noChangeAspect="1"/>
        </xdr:cNvPicPr>
      </xdr:nvPicPr>
      <xdr:blipFill>
        <a:blip r:embed="rId5"/>
        <a:srcRect l="49371"/>
        <a:stretch>
          <a:fillRect/>
        </a:stretch>
      </xdr:blipFill>
      <xdr:spPr>
        <a:xfrm>
          <a:off x="243205" y="11201400"/>
          <a:ext cx="982345" cy="1445895"/>
        </a:xfrm>
        <a:prstGeom prst="rect">
          <a:avLst/>
        </a:prstGeom>
      </xdr:spPr>
    </xdr:pic>
    <xdr:clientData/>
  </xdr:twoCellAnchor>
  <xdr:twoCellAnchor>
    <xdr:from>
      <xdr:col>1</xdr:col>
      <xdr:colOff>1156335</xdr:colOff>
      <xdr:row>60</xdr:row>
      <xdr:rowOff>160020</xdr:rowOff>
    </xdr:from>
    <xdr:to>
      <xdr:col>6</xdr:col>
      <xdr:colOff>5715</xdr:colOff>
      <xdr:row>66</xdr:row>
      <xdr:rowOff>136525</xdr:rowOff>
    </xdr:to>
    <xdr:sp>
      <xdr:nvSpPr>
        <xdr:cNvPr id="5" name="右箭头 4"/>
        <xdr:cNvSpPr/>
      </xdr:nvSpPr>
      <xdr:spPr>
        <a:xfrm>
          <a:off x="1353185" y="11342370"/>
          <a:ext cx="2457450" cy="1005205"/>
        </a:xfrm>
        <a:prstGeom prst="rightArrow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/>
            <a:t>刀具头部长度</a:t>
          </a:r>
          <a:r>
            <a:rPr lang="en-US" altLang="zh-CN" sz="1100"/>
            <a:t>LH</a:t>
          </a:r>
          <a:r>
            <a:rPr lang="zh-CN" altLang="en-US" sz="1100"/>
            <a:t>从</a:t>
          </a:r>
          <a:r>
            <a:rPr lang="en-US" altLang="zh-CN" sz="1100"/>
            <a:t>8</a:t>
          </a:r>
          <a:r>
            <a:rPr lang="zh-CN" altLang="en-US" sz="1100"/>
            <a:t>缩短为</a:t>
          </a:r>
          <a:r>
            <a:rPr lang="en-US" altLang="zh-CN" sz="1100"/>
            <a:t>6</a:t>
          </a:r>
          <a:r>
            <a:rPr lang="zh-CN" altLang="en-US" sz="1100"/>
            <a:t>，</a:t>
          </a:r>
          <a:endParaRPr lang="zh-CN" altLang="en-US" sz="1100"/>
        </a:p>
        <a:p>
          <a:pPr algn="l"/>
          <a:r>
            <a:rPr lang="zh-CN" altLang="en-US" sz="1100"/>
            <a:t>这样可减少工件下方干涉</a:t>
          </a:r>
          <a:endParaRPr lang="en-US" altLang="en-US" sz="1100"/>
        </a:p>
      </xdr:txBody>
    </xdr:sp>
    <xdr:clientData/>
  </xdr:twoCellAnchor>
  <xdr:twoCellAnchor>
    <xdr:from>
      <xdr:col>1</xdr:col>
      <xdr:colOff>143510</xdr:colOff>
      <xdr:row>65</xdr:row>
      <xdr:rowOff>17145</xdr:rowOff>
    </xdr:from>
    <xdr:to>
      <xdr:col>1</xdr:col>
      <xdr:colOff>1061720</xdr:colOff>
      <xdr:row>68</xdr:row>
      <xdr:rowOff>148590</xdr:rowOff>
    </xdr:to>
    <xdr:sp>
      <xdr:nvSpPr>
        <xdr:cNvPr id="6" name="椭圆 5"/>
        <xdr:cNvSpPr/>
      </xdr:nvSpPr>
      <xdr:spPr>
        <a:xfrm>
          <a:off x="340360" y="12056745"/>
          <a:ext cx="918210" cy="645795"/>
        </a:xfrm>
        <a:prstGeom prst="ellipse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altLang="zh-CN" sz="2000"/>
        </a:p>
      </xdr:txBody>
    </xdr:sp>
    <xdr:clientData/>
  </xdr:twoCellAnchor>
  <xdr:twoCellAnchor>
    <xdr:from>
      <xdr:col>6</xdr:col>
      <xdr:colOff>243840</xdr:colOff>
      <xdr:row>64</xdr:row>
      <xdr:rowOff>107950</xdr:rowOff>
    </xdr:from>
    <xdr:to>
      <xdr:col>7</xdr:col>
      <xdr:colOff>393065</xdr:colOff>
      <xdr:row>66</xdr:row>
      <xdr:rowOff>153670</xdr:rowOff>
    </xdr:to>
    <xdr:sp>
      <xdr:nvSpPr>
        <xdr:cNvPr id="7" name="椭圆 6"/>
        <xdr:cNvSpPr/>
      </xdr:nvSpPr>
      <xdr:spPr>
        <a:xfrm>
          <a:off x="4048760" y="11976100"/>
          <a:ext cx="711200" cy="388620"/>
        </a:xfrm>
        <a:prstGeom prst="ellipse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altLang="zh-CN" sz="2000"/>
        </a:p>
      </xdr:txBody>
    </xdr:sp>
    <xdr:clientData/>
  </xdr:twoCellAnchor>
  <xdr:twoCellAnchor>
    <xdr:from>
      <xdr:col>1</xdr:col>
      <xdr:colOff>164465</xdr:colOff>
      <xdr:row>58</xdr:row>
      <xdr:rowOff>151765</xdr:rowOff>
    </xdr:from>
    <xdr:to>
      <xdr:col>1</xdr:col>
      <xdr:colOff>920115</xdr:colOff>
      <xdr:row>60</xdr:row>
      <xdr:rowOff>13335</xdr:rowOff>
    </xdr:to>
    <xdr:sp>
      <xdr:nvSpPr>
        <xdr:cNvPr id="8" name="文本框 7"/>
        <xdr:cNvSpPr txBox="1"/>
      </xdr:nvSpPr>
      <xdr:spPr>
        <a:xfrm>
          <a:off x="361315" y="10991215"/>
          <a:ext cx="755650" cy="20447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1200">
              <a:solidFill>
                <a:srgbClr val="FF0000"/>
              </a:solidFill>
            </a:rPr>
            <a:t>R-2DCG</a:t>
          </a:r>
          <a:endParaRPr lang="en-US" altLang="zh-CN" sz="120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290195</xdr:colOff>
      <xdr:row>58</xdr:row>
      <xdr:rowOff>150495</xdr:rowOff>
    </xdr:from>
    <xdr:to>
      <xdr:col>7</xdr:col>
      <xdr:colOff>483870</xdr:colOff>
      <xdr:row>60</xdr:row>
      <xdr:rowOff>12065</xdr:rowOff>
    </xdr:to>
    <xdr:sp>
      <xdr:nvSpPr>
        <xdr:cNvPr id="10" name="文本框 9"/>
        <xdr:cNvSpPr txBox="1"/>
      </xdr:nvSpPr>
      <xdr:spPr>
        <a:xfrm>
          <a:off x="4095115" y="10989945"/>
          <a:ext cx="755650" cy="20447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1200">
              <a:solidFill>
                <a:srgbClr val="FF0000"/>
              </a:solidFill>
            </a:rPr>
            <a:t>RDG</a:t>
          </a:r>
          <a:endParaRPr lang="en-US" altLang="zh-CN" sz="12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296545</xdr:colOff>
      <xdr:row>0</xdr:row>
      <xdr:rowOff>95885</xdr:rowOff>
    </xdr:from>
    <xdr:to>
      <xdr:col>8</xdr:col>
      <xdr:colOff>99695</xdr:colOff>
      <xdr:row>8</xdr:row>
      <xdr:rowOff>127635</xdr:rowOff>
    </xdr:to>
    <xdr:sp>
      <xdr:nvSpPr>
        <xdr:cNvPr id="13" name="爆炸形 1 12"/>
        <xdr:cNvSpPr/>
      </xdr:nvSpPr>
      <xdr:spPr>
        <a:xfrm>
          <a:off x="2711450" y="95885"/>
          <a:ext cx="3231515" cy="1470025"/>
        </a:xfrm>
        <a:prstGeom prst="irregularSeal1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 anchorCtr="0"/>
        <a:p>
          <a:pPr algn="ctr"/>
          <a:r>
            <a:rPr lang="zh-CN" altLang="en-US" sz="1200" b="1">
              <a:solidFill>
                <a:srgbClr val="FF0000"/>
              </a:solidFill>
            </a:rPr>
            <a:t>此为老产品，将逐步被新产品</a:t>
          </a:r>
          <a:r>
            <a:rPr lang="en-US" altLang="zh-CN" sz="1200" b="1">
              <a:solidFill>
                <a:srgbClr val="FF0000"/>
              </a:solidFill>
            </a:rPr>
            <a:t>RDE</a:t>
          </a:r>
          <a:r>
            <a:rPr lang="zh-CN" altLang="en-US" sz="1200" b="1">
              <a:solidFill>
                <a:srgbClr val="FF0000"/>
              </a:solidFill>
            </a:rPr>
            <a:t>系列替换掉</a:t>
          </a:r>
          <a:endParaRPr lang="zh-CN" altLang="en-US" sz="12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</xdr:col>
      <xdr:colOff>33020</xdr:colOff>
      <xdr:row>1</xdr:row>
      <xdr:rowOff>40005</xdr:rowOff>
    </xdr:from>
    <xdr:to>
      <xdr:col>1</xdr:col>
      <xdr:colOff>1213485</xdr:colOff>
      <xdr:row>8</xdr:row>
      <xdr:rowOff>135890</xdr:rowOff>
    </xdr:to>
    <xdr:pic>
      <xdr:nvPicPr>
        <xdr:cNvPr id="2" name="图片 1" descr="R-2DCE (6)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29870" y="278130"/>
          <a:ext cx="1180465" cy="1296035"/>
        </a:xfrm>
        <a:prstGeom prst="rect">
          <a:avLst/>
        </a:prstGeom>
      </xdr:spPr>
    </xdr:pic>
    <xdr:clientData/>
  </xdr:twoCellAnchor>
  <xdr:twoCellAnchor>
    <xdr:from>
      <xdr:col>1</xdr:col>
      <xdr:colOff>1256665</xdr:colOff>
      <xdr:row>1</xdr:row>
      <xdr:rowOff>35560</xdr:rowOff>
    </xdr:from>
    <xdr:to>
      <xdr:col>4</xdr:col>
      <xdr:colOff>86995</xdr:colOff>
      <xdr:row>8</xdr:row>
      <xdr:rowOff>116205</xdr:rowOff>
    </xdr:to>
    <xdr:pic>
      <xdr:nvPicPr>
        <xdr:cNvPr id="3" name="图片 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453515" y="273685"/>
          <a:ext cx="1637030" cy="128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558165</xdr:colOff>
      <xdr:row>22</xdr:row>
      <xdr:rowOff>140335</xdr:rowOff>
    </xdr:from>
    <xdr:to>
      <xdr:col>6</xdr:col>
      <xdr:colOff>557530</xdr:colOff>
      <xdr:row>24</xdr:row>
      <xdr:rowOff>34925</xdr:rowOff>
    </xdr:to>
    <xdr:sp>
      <xdr:nvSpPr>
        <xdr:cNvPr id="11" name="文本框 10"/>
        <xdr:cNvSpPr txBox="1"/>
      </xdr:nvSpPr>
      <xdr:spPr>
        <a:xfrm>
          <a:off x="2973070" y="3988435"/>
          <a:ext cx="1389380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000"/>
            <a:t>推荐</a:t>
          </a:r>
          <a:r>
            <a:rPr lang="en-US" altLang="zh-CN" sz="1000"/>
            <a:t>f</a:t>
          </a:r>
          <a:r>
            <a:rPr lang="zh-CN" altLang="en-US" sz="1000"/>
            <a:t>：              </a:t>
          </a:r>
          <a:r>
            <a:rPr lang="en-US" altLang="zh-CN" sz="1000"/>
            <a:t>mm/r</a:t>
          </a:r>
          <a:endParaRPr lang="en-US" altLang="zh-CN" sz="1000"/>
        </a:p>
      </xdr:txBody>
    </xdr:sp>
    <xdr:clientData/>
  </xdr:twoCellAnchor>
  <xdr:twoCellAnchor>
    <xdr:from>
      <xdr:col>3</xdr:col>
      <xdr:colOff>539750</xdr:colOff>
      <xdr:row>20</xdr:row>
      <xdr:rowOff>166370</xdr:rowOff>
    </xdr:from>
    <xdr:to>
      <xdr:col>6</xdr:col>
      <xdr:colOff>420370</xdr:colOff>
      <xdr:row>22</xdr:row>
      <xdr:rowOff>60960</xdr:rowOff>
    </xdr:to>
    <xdr:sp>
      <xdr:nvSpPr>
        <xdr:cNvPr id="12" name="文本框 11"/>
        <xdr:cNvSpPr txBox="1"/>
      </xdr:nvSpPr>
      <xdr:spPr>
        <a:xfrm>
          <a:off x="2954655" y="3671570"/>
          <a:ext cx="1270635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900">
              <a:latin typeface="+mn-ea"/>
            </a:rPr>
            <a:t>推荐150（100~200）</a:t>
          </a:r>
          <a:endParaRPr lang="en-US" altLang="zh-CN" sz="900">
            <a:latin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427990</xdr:colOff>
      <xdr:row>0</xdr:row>
      <xdr:rowOff>635</xdr:rowOff>
    </xdr:from>
    <xdr:to>
      <xdr:col>9</xdr:col>
      <xdr:colOff>48895</xdr:colOff>
      <xdr:row>8</xdr:row>
      <xdr:rowOff>40640</xdr:rowOff>
    </xdr:to>
    <xdr:sp>
      <xdr:nvSpPr>
        <xdr:cNvPr id="2" name="爆炸形 1 1"/>
        <xdr:cNvSpPr/>
      </xdr:nvSpPr>
      <xdr:spPr>
        <a:xfrm>
          <a:off x="2842895" y="635"/>
          <a:ext cx="3232785" cy="1478280"/>
        </a:xfrm>
        <a:prstGeom prst="irregularSeal1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200" b="1">
              <a:solidFill>
                <a:srgbClr val="FF0000"/>
              </a:solidFill>
            </a:rPr>
            <a:t>此为老产品，将逐步被新产品</a:t>
          </a:r>
          <a:r>
            <a:rPr lang="en-US" altLang="zh-CN" sz="1200" b="1">
              <a:solidFill>
                <a:srgbClr val="FF0000"/>
              </a:solidFill>
            </a:rPr>
            <a:t>RDG</a:t>
          </a:r>
          <a:r>
            <a:rPr lang="zh-CN" altLang="en-US" sz="1200" b="1">
              <a:solidFill>
                <a:srgbClr val="FF0000"/>
              </a:solidFill>
            </a:rPr>
            <a:t>系列替换掉</a:t>
          </a:r>
          <a:endParaRPr lang="zh-CN" altLang="en-US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530225</xdr:colOff>
      <xdr:row>22</xdr:row>
      <xdr:rowOff>137160</xdr:rowOff>
    </xdr:from>
    <xdr:to>
      <xdr:col>7</xdr:col>
      <xdr:colOff>274955</xdr:colOff>
      <xdr:row>24</xdr:row>
      <xdr:rowOff>68580</xdr:rowOff>
    </xdr:to>
    <xdr:sp>
      <xdr:nvSpPr>
        <xdr:cNvPr id="16" name="文本框 15"/>
        <xdr:cNvSpPr txBox="1"/>
      </xdr:nvSpPr>
      <xdr:spPr>
        <a:xfrm>
          <a:off x="2945130" y="3985260"/>
          <a:ext cx="16967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000"/>
            <a:t>推荐</a:t>
          </a:r>
          <a:r>
            <a:rPr lang="en-US" altLang="zh-CN" sz="1000"/>
            <a:t>f</a:t>
          </a:r>
          <a:r>
            <a:rPr lang="zh-CN" altLang="en-US" sz="1000"/>
            <a:t>：              </a:t>
          </a:r>
          <a:r>
            <a:rPr lang="en-US" altLang="zh-CN" sz="1000"/>
            <a:t>mm/r</a:t>
          </a:r>
          <a:endParaRPr lang="en-US" altLang="zh-CN" sz="1000"/>
        </a:p>
      </xdr:txBody>
    </xdr:sp>
    <xdr:clientData/>
  </xdr:twoCellAnchor>
  <xdr:twoCellAnchor>
    <xdr:from>
      <xdr:col>3</xdr:col>
      <xdr:colOff>539750</xdr:colOff>
      <xdr:row>20</xdr:row>
      <xdr:rowOff>166370</xdr:rowOff>
    </xdr:from>
    <xdr:to>
      <xdr:col>6</xdr:col>
      <xdr:colOff>420370</xdr:colOff>
      <xdr:row>22</xdr:row>
      <xdr:rowOff>60960</xdr:rowOff>
    </xdr:to>
    <xdr:sp>
      <xdr:nvSpPr>
        <xdr:cNvPr id="17" name="文本框 16"/>
        <xdr:cNvSpPr txBox="1"/>
      </xdr:nvSpPr>
      <xdr:spPr>
        <a:xfrm>
          <a:off x="2954655" y="3671570"/>
          <a:ext cx="1270635" cy="237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900">
              <a:latin typeface="+mn-ea"/>
            </a:rPr>
            <a:t>推荐150（100~200）</a:t>
          </a:r>
          <a:endParaRPr lang="en-US" altLang="zh-CN" sz="900">
            <a:latin typeface="+mn-ea"/>
          </a:endParaRPr>
        </a:p>
      </xdr:txBody>
    </xdr:sp>
    <xdr:clientData/>
  </xdr:twoCellAnchor>
  <xdr:twoCellAnchor>
    <xdr:from>
      <xdr:col>2</xdr:col>
      <xdr:colOff>167005</xdr:colOff>
      <xdr:row>1</xdr:row>
      <xdr:rowOff>71120</xdr:rowOff>
    </xdr:from>
    <xdr:to>
      <xdr:col>5</xdr:col>
      <xdr:colOff>311150</xdr:colOff>
      <xdr:row>8</xdr:row>
      <xdr:rowOff>154305</xdr:rowOff>
    </xdr:to>
    <xdr:pic>
      <xdr:nvPicPr>
        <xdr:cNvPr id="23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3265" y="309245"/>
          <a:ext cx="1637030" cy="128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11430</xdr:colOff>
      <xdr:row>1</xdr:row>
      <xdr:rowOff>43180</xdr:rowOff>
    </xdr:from>
    <xdr:to>
      <xdr:col>2</xdr:col>
      <xdr:colOff>141605</xdr:colOff>
      <xdr:row>8</xdr:row>
      <xdr:rowOff>154305</xdr:rowOff>
    </xdr:to>
    <xdr:pic>
      <xdr:nvPicPr>
        <xdr:cNvPr id="25" name="图片 5" descr="R-2DCG (2)-合成白底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8280" y="281305"/>
          <a:ext cx="1759585" cy="13112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99695</xdr:colOff>
      <xdr:row>3</xdr:row>
      <xdr:rowOff>27305</xdr:rowOff>
    </xdr:from>
    <xdr:to>
      <xdr:col>11</xdr:col>
      <xdr:colOff>436245</xdr:colOff>
      <xdr:row>6</xdr:row>
      <xdr:rowOff>125095</xdr:rowOff>
    </xdr:to>
    <xdr:pic>
      <xdr:nvPicPr>
        <xdr:cNvPr id="3" name="图片 2" descr="整体合金式刀具-主打直柄钻 (1)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207010" y="643255"/>
          <a:ext cx="2905760" cy="640715"/>
        </a:xfrm>
        <a:prstGeom prst="rect">
          <a:avLst/>
        </a:prstGeom>
      </xdr:spPr>
    </xdr:pic>
    <xdr:clientData/>
  </xdr:twoCellAnchor>
  <xdr:twoCellAnchor editAs="oneCell">
    <xdr:from>
      <xdr:col>13</xdr:col>
      <xdr:colOff>151130</xdr:colOff>
      <xdr:row>3</xdr:row>
      <xdr:rowOff>12065</xdr:rowOff>
    </xdr:from>
    <xdr:to>
      <xdr:col>15</xdr:col>
      <xdr:colOff>199390</xdr:colOff>
      <xdr:row>6</xdr:row>
      <xdr:rowOff>175260</xdr:rowOff>
    </xdr:to>
    <xdr:pic>
      <xdr:nvPicPr>
        <xdr:cNvPr id="4" name="图片 3" descr="IMG_20170911_172256"/>
        <xdr:cNvPicPr>
          <a:picLocks noChangeAspect="1"/>
        </xdr:cNvPicPr>
      </xdr:nvPicPr>
      <xdr:blipFill>
        <a:blip r:embed="rId2"/>
        <a:srcRect/>
        <a:stretch>
          <a:fillRect/>
        </a:stretch>
      </xdr:blipFill>
      <xdr:spPr>
        <a:xfrm>
          <a:off x="3437255" y="628015"/>
          <a:ext cx="715010" cy="706120"/>
        </a:xfrm>
        <a:prstGeom prst="ellipse">
          <a:avLst/>
        </a:prstGeom>
      </xdr:spPr>
    </xdr:pic>
    <xdr:clientData/>
  </xdr:twoCellAnchor>
  <xdr:oneCellAnchor>
    <xdr:from>
      <xdr:col>5</xdr:col>
      <xdr:colOff>283845</xdr:colOff>
      <xdr:row>0</xdr:row>
      <xdr:rowOff>111760</xdr:rowOff>
    </xdr:from>
    <xdr:ext cx="3577590" cy="232410"/>
    <xdr:sp>
      <xdr:nvSpPr>
        <xdr:cNvPr id="9" name="文本框 8"/>
        <xdr:cNvSpPr txBox="1"/>
      </xdr:nvSpPr>
      <xdr:spPr>
        <a:xfrm>
          <a:off x="1093470" y="111760"/>
          <a:ext cx="3577590" cy="2324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>
          <a:sp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400" b="1"/>
            <a:t>杭州希恩希拓斯精密机械有限公司</a:t>
          </a:r>
          <a:endParaRPr lang="zh-CN" altLang="en-US" sz="1400" b="1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10795</xdr:colOff>
          <xdr:row>31</xdr:row>
          <xdr:rowOff>32385</xdr:rowOff>
        </xdr:from>
        <xdr:to>
          <xdr:col>15</xdr:col>
          <xdr:colOff>285115</xdr:colOff>
          <xdr:row>32</xdr:row>
          <xdr:rowOff>158750</xdr:rowOff>
        </xdr:to>
        <xdr:sp>
          <xdr:nvSpPr>
            <xdr:cNvPr id="6145" name="公式 8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3173095" y="5763260"/>
              <a:ext cx="1064895" cy="3073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408305</xdr:colOff>
          <xdr:row>31</xdr:row>
          <xdr:rowOff>34290</xdr:rowOff>
        </xdr:from>
        <xdr:to>
          <xdr:col>17</xdr:col>
          <xdr:colOff>1006475</xdr:colOff>
          <xdr:row>32</xdr:row>
          <xdr:rowOff>162560</xdr:rowOff>
        </xdr:to>
        <xdr:sp>
          <xdr:nvSpPr>
            <xdr:cNvPr id="6146" name="公式 10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4361180" y="5765165"/>
              <a:ext cx="1131570" cy="3092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36</xdr:row>
          <xdr:rowOff>31115</xdr:rowOff>
        </xdr:from>
        <xdr:to>
          <xdr:col>17</xdr:col>
          <xdr:colOff>572135</xdr:colOff>
          <xdr:row>37</xdr:row>
          <xdr:rowOff>160020</xdr:rowOff>
        </xdr:to>
        <xdr:sp>
          <xdr:nvSpPr>
            <xdr:cNvPr id="6147" name="公式 9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4371975" y="6549390"/>
              <a:ext cx="686435" cy="3098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480060</xdr:colOff>
          <xdr:row>36</xdr:row>
          <xdr:rowOff>88900</xdr:rowOff>
        </xdr:from>
        <xdr:to>
          <xdr:col>15</xdr:col>
          <xdr:colOff>199390</xdr:colOff>
          <xdr:row>37</xdr:row>
          <xdr:rowOff>72390</xdr:rowOff>
        </xdr:to>
        <xdr:sp>
          <xdr:nvSpPr>
            <xdr:cNvPr id="6148" name="Object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3156585" y="6607175"/>
              <a:ext cx="995680" cy="16446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10</xdr:col>
      <xdr:colOff>45720</xdr:colOff>
      <xdr:row>32</xdr:row>
      <xdr:rowOff>92710</xdr:rowOff>
    </xdr:from>
    <xdr:to>
      <xdr:col>11</xdr:col>
      <xdr:colOff>450215</xdr:colOff>
      <xdr:row>33</xdr:row>
      <xdr:rowOff>27305</xdr:rowOff>
    </xdr:to>
    <xdr:cxnSp>
      <xdr:nvCxnSpPr>
        <xdr:cNvPr id="11" name="直接箭头连接符 10"/>
        <xdr:cNvCxnSpPr/>
      </xdr:nvCxnSpPr>
      <xdr:spPr>
        <a:xfrm>
          <a:off x="2465070" y="6004560"/>
          <a:ext cx="661670" cy="11557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33655</xdr:colOff>
      <xdr:row>33</xdr:row>
      <xdr:rowOff>122555</xdr:rowOff>
    </xdr:from>
    <xdr:to>
      <xdr:col>11</xdr:col>
      <xdr:colOff>450215</xdr:colOff>
      <xdr:row>33</xdr:row>
      <xdr:rowOff>122555</xdr:rowOff>
    </xdr:to>
    <xdr:cxnSp>
      <xdr:nvCxnSpPr>
        <xdr:cNvPr id="12" name="直接箭头连接符 11"/>
        <xdr:cNvCxnSpPr/>
      </xdr:nvCxnSpPr>
      <xdr:spPr>
        <a:xfrm>
          <a:off x="2453005" y="6215380"/>
          <a:ext cx="67373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52070</xdr:colOff>
      <xdr:row>34</xdr:row>
      <xdr:rowOff>128270</xdr:rowOff>
    </xdr:from>
    <xdr:to>
      <xdr:col>11</xdr:col>
      <xdr:colOff>468630</xdr:colOff>
      <xdr:row>34</xdr:row>
      <xdr:rowOff>128270</xdr:rowOff>
    </xdr:to>
    <xdr:cxnSp>
      <xdr:nvCxnSpPr>
        <xdr:cNvPr id="13" name="直接箭头连接符 12"/>
        <xdr:cNvCxnSpPr/>
      </xdr:nvCxnSpPr>
      <xdr:spPr>
        <a:xfrm>
          <a:off x="2471420" y="6402070"/>
          <a:ext cx="67373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10160</xdr:colOff>
      <xdr:row>38</xdr:row>
      <xdr:rowOff>140335</xdr:rowOff>
    </xdr:from>
    <xdr:to>
      <xdr:col>11</xdr:col>
      <xdr:colOff>426720</xdr:colOff>
      <xdr:row>38</xdr:row>
      <xdr:rowOff>140335</xdr:rowOff>
    </xdr:to>
    <xdr:cxnSp>
      <xdr:nvCxnSpPr>
        <xdr:cNvPr id="14" name="直接箭头连接符 13"/>
        <xdr:cNvCxnSpPr/>
      </xdr:nvCxnSpPr>
      <xdr:spPr>
        <a:xfrm>
          <a:off x="2429510" y="7020560"/>
          <a:ext cx="67373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40005</xdr:colOff>
      <xdr:row>39</xdr:row>
      <xdr:rowOff>132715</xdr:rowOff>
    </xdr:from>
    <xdr:to>
      <xdr:col>11</xdr:col>
      <xdr:colOff>456565</xdr:colOff>
      <xdr:row>39</xdr:row>
      <xdr:rowOff>132715</xdr:rowOff>
    </xdr:to>
    <xdr:cxnSp>
      <xdr:nvCxnSpPr>
        <xdr:cNvPr id="15" name="直接箭头连接符 14"/>
        <xdr:cNvCxnSpPr/>
      </xdr:nvCxnSpPr>
      <xdr:spPr>
        <a:xfrm>
          <a:off x="2459355" y="7193915"/>
          <a:ext cx="67373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37</xdr:row>
      <xdr:rowOff>104140</xdr:rowOff>
    </xdr:from>
    <xdr:to>
      <xdr:col>11</xdr:col>
      <xdr:colOff>443865</xdr:colOff>
      <xdr:row>38</xdr:row>
      <xdr:rowOff>74930</xdr:rowOff>
    </xdr:to>
    <xdr:cxnSp>
      <xdr:nvCxnSpPr>
        <xdr:cNvPr id="16" name="直接箭头连接符 15"/>
        <xdr:cNvCxnSpPr/>
      </xdr:nvCxnSpPr>
      <xdr:spPr>
        <a:xfrm>
          <a:off x="2465070" y="6803390"/>
          <a:ext cx="655320" cy="15176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56515</xdr:colOff>
      <xdr:row>37</xdr:row>
      <xdr:rowOff>99060</xdr:rowOff>
    </xdr:from>
    <xdr:to>
      <xdr:col>11</xdr:col>
      <xdr:colOff>443865</xdr:colOff>
      <xdr:row>39</xdr:row>
      <xdr:rowOff>74295</xdr:rowOff>
    </xdr:to>
    <xdr:cxnSp>
      <xdr:nvCxnSpPr>
        <xdr:cNvPr id="17" name="直接箭头连接符 16"/>
        <xdr:cNvCxnSpPr/>
      </xdr:nvCxnSpPr>
      <xdr:spPr>
        <a:xfrm>
          <a:off x="2475865" y="6798310"/>
          <a:ext cx="644525" cy="33718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57150</xdr:colOff>
      <xdr:row>32</xdr:row>
      <xdr:rowOff>92710</xdr:rowOff>
    </xdr:from>
    <xdr:to>
      <xdr:col>11</xdr:col>
      <xdr:colOff>450215</xdr:colOff>
      <xdr:row>34</xdr:row>
      <xdr:rowOff>62865</xdr:rowOff>
    </xdr:to>
    <xdr:cxnSp>
      <xdr:nvCxnSpPr>
        <xdr:cNvPr id="18" name="直接箭头连接符 17"/>
        <xdr:cNvCxnSpPr/>
      </xdr:nvCxnSpPr>
      <xdr:spPr>
        <a:xfrm>
          <a:off x="2476500" y="6004560"/>
          <a:ext cx="650240" cy="33210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40005</xdr:colOff>
      <xdr:row>5</xdr:row>
      <xdr:rowOff>177800</xdr:rowOff>
    </xdr:from>
    <xdr:to>
      <xdr:col>7</xdr:col>
      <xdr:colOff>348615</xdr:colOff>
      <xdr:row>26</xdr:row>
      <xdr:rowOff>8890</xdr:rowOff>
    </xdr:to>
    <xdr:sp>
      <xdr:nvSpPr>
        <xdr:cNvPr id="2" name="右大括号 1"/>
        <xdr:cNvSpPr/>
      </xdr:nvSpPr>
      <xdr:spPr>
        <a:xfrm>
          <a:off x="4042410" y="1031875"/>
          <a:ext cx="308610" cy="3441065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11</xdr:col>
      <xdr:colOff>239395</xdr:colOff>
      <xdr:row>4</xdr:row>
      <xdr:rowOff>73660</xdr:rowOff>
    </xdr:from>
    <xdr:to>
      <xdr:col>13</xdr:col>
      <xdr:colOff>470535</xdr:colOff>
      <xdr:row>25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512560" y="746760"/>
          <a:ext cx="1602740" cy="36525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882650</xdr:colOff>
      <xdr:row>3</xdr:row>
      <xdr:rowOff>85090</xdr:rowOff>
    </xdr:from>
    <xdr:to>
      <xdr:col>4</xdr:col>
      <xdr:colOff>768350</xdr:colOff>
      <xdr:row>8</xdr:row>
      <xdr:rowOff>143510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24075" y="666115"/>
          <a:ext cx="1657350" cy="991870"/>
        </a:xfrm>
        <a:prstGeom prst="rect">
          <a:avLst/>
        </a:prstGeom>
        <a:noFill/>
        <a:ln w="9525"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118110</xdr:colOff>
          <xdr:row>6</xdr:row>
          <xdr:rowOff>172085</xdr:rowOff>
        </xdr:from>
        <xdr:to>
          <xdr:col>6</xdr:col>
          <xdr:colOff>911225</xdr:colOff>
          <xdr:row>8</xdr:row>
          <xdr:rowOff>10160</xdr:rowOff>
        </xdr:to>
        <xdr:sp>
          <xdr:nvSpPr>
            <xdr:cNvPr id="335873" name="Object 1" hidden="1">
              <a:extLst>
                <a:ext uri="{63B3BB69-23CF-44E3-9099-C40C66FF867C}">
                  <a14:compatExt spid="_x0000_s335873"/>
                </a:ext>
              </a:extLst>
            </xdr:cNvPr>
            <xdr:cNvSpPr/>
          </xdr:nvSpPr>
          <xdr:spPr>
            <a:xfrm>
              <a:off x="4750435" y="1305560"/>
              <a:ext cx="793115" cy="2190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80645</xdr:colOff>
          <xdr:row>15</xdr:row>
          <xdr:rowOff>22225</xdr:rowOff>
        </xdr:from>
        <xdr:to>
          <xdr:col>6</xdr:col>
          <xdr:colOff>787400</xdr:colOff>
          <xdr:row>15</xdr:row>
          <xdr:rowOff>243840</xdr:rowOff>
        </xdr:to>
        <xdr:sp>
          <xdr:nvSpPr>
            <xdr:cNvPr id="335874" name="Object 2" hidden="1">
              <a:extLst>
                <a:ext uri="{63B3BB69-23CF-44E3-9099-C40C66FF867C}">
                  <a14:compatExt spid="_x0000_s335874"/>
                </a:ext>
              </a:extLst>
            </xdr:cNvPr>
            <xdr:cNvSpPr/>
          </xdr:nvSpPr>
          <xdr:spPr>
            <a:xfrm>
              <a:off x="4712970" y="3178175"/>
              <a:ext cx="706755" cy="2216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88265</xdr:colOff>
          <xdr:row>14</xdr:row>
          <xdr:rowOff>20320</xdr:rowOff>
        </xdr:from>
        <xdr:to>
          <xdr:col>6</xdr:col>
          <xdr:colOff>785495</xdr:colOff>
          <xdr:row>14</xdr:row>
          <xdr:rowOff>241935</xdr:rowOff>
        </xdr:to>
        <xdr:sp>
          <xdr:nvSpPr>
            <xdr:cNvPr id="335875" name="Object 3" hidden="1">
              <a:extLst>
                <a:ext uri="{63B3BB69-23CF-44E3-9099-C40C66FF867C}">
                  <a14:compatExt spid="_x0000_s335875"/>
                </a:ext>
              </a:extLst>
            </xdr:cNvPr>
            <xdr:cNvSpPr/>
          </xdr:nvSpPr>
          <xdr:spPr>
            <a:xfrm>
              <a:off x="4720590" y="2922270"/>
              <a:ext cx="697230" cy="2216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13</xdr:row>
          <xdr:rowOff>15875</xdr:rowOff>
        </xdr:from>
        <xdr:to>
          <xdr:col>6</xdr:col>
          <xdr:colOff>782955</xdr:colOff>
          <xdr:row>13</xdr:row>
          <xdr:rowOff>236855</xdr:rowOff>
        </xdr:to>
        <xdr:sp>
          <xdr:nvSpPr>
            <xdr:cNvPr id="335876" name="Object 4" hidden="1">
              <a:extLst>
                <a:ext uri="{63B3BB69-23CF-44E3-9099-C40C66FF867C}">
                  <a14:compatExt spid="_x0000_s335876"/>
                </a:ext>
              </a:extLst>
            </xdr:cNvPr>
            <xdr:cNvSpPr/>
          </xdr:nvSpPr>
          <xdr:spPr>
            <a:xfrm>
              <a:off x="4718050" y="2663825"/>
              <a:ext cx="697230" cy="22098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200025</xdr:colOff>
      <xdr:row>2</xdr:row>
      <xdr:rowOff>197485</xdr:rowOff>
    </xdr:from>
    <xdr:to>
      <xdr:col>10</xdr:col>
      <xdr:colOff>504825</xdr:colOff>
      <xdr:row>23</xdr:row>
      <xdr:rowOff>73660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86730" y="540385"/>
          <a:ext cx="990600" cy="3517900"/>
        </a:xfrm>
        <a:prstGeom prst="rect">
          <a:avLst/>
        </a:prstGeom>
        <a:noFill/>
        <a:ln w="9525"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177800</xdr:colOff>
          <xdr:row>26</xdr:row>
          <xdr:rowOff>23495</xdr:rowOff>
        </xdr:from>
        <xdr:to>
          <xdr:col>8</xdr:col>
          <xdr:colOff>443865</xdr:colOff>
          <xdr:row>27</xdr:row>
          <xdr:rowOff>149860</xdr:rowOff>
        </xdr:to>
        <xdr:sp>
          <xdr:nvSpPr>
            <xdr:cNvPr id="336897" name="公式 8" hidden="1">
              <a:extLst>
                <a:ext uri="{63B3BB69-23CF-44E3-9099-C40C66FF867C}">
                  <a14:compatExt spid="_x0000_s336897"/>
                </a:ext>
              </a:extLst>
            </xdr:cNvPr>
            <xdr:cNvSpPr/>
          </xdr:nvSpPr>
          <xdr:spPr>
            <a:xfrm>
              <a:off x="3996690" y="4589145"/>
              <a:ext cx="1064895" cy="3073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181610</xdr:colOff>
          <xdr:row>26</xdr:row>
          <xdr:rowOff>20320</xdr:rowOff>
        </xdr:from>
        <xdr:to>
          <xdr:col>10</xdr:col>
          <xdr:colOff>627380</xdr:colOff>
          <xdr:row>27</xdr:row>
          <xdr:rowOff>148590</xdr:rowOff>
        </xdr:to>
        <xdr:sp>
          <xdr:nvSpPr>
            <xdr:cNvPr id="336898" name="公式 10" hidden="1">
              <a:extLst>
                <a:ext uri="{63B3BB69-23CF-44E3-9099-C40C66FF867C}">
                  <a14:compatExt spid="_x0000_s336898"/>
                </a:ext>
              </a:extLst>
            </xdr:cNvPr>
            <xdr:cNvSpPr/>
          </xdr:nvSpPr>
          <xdr:spPr>
            <a:xfrm>
              <a:off x="5568315" y="4585970"/>
              <a:ext cx="1131570" cy="3092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443230</xdr:colOff>
          <xdr:row>31</xdr:row>
          <xdr:rowOff>26670</xdr:rowOff>
        </xdr:from>
        <xdr:to>
          <xdr:col>10</xdr:col>
          <xdr:colOff>443865</xdr:colOff>
          <xdr:row>32</xdr:row>
          <xdr:rowOff>155575</xdr:rowOff>
        </xdr:to>
        <xdr:sp>
          <xdr:nvSpPr>
            <xdr:cNvPr id="336899" name="公式 9" hidden="1">
              <a:extLst>
                <a:ext uri="{63B3BB69-23CF-44E3-9099-C40C66FF867C}">
                  <a14:compatExt spid="_x0000_s336899"/>
                </a:ext>
              </a:extLst>
            </xdr:cNvPr>
            <xdr:cNvSpPr/>
          </xdr:nvSpPr>
          <xdr:spPr>
            <a:xfrm>
              <a:off x="5829935" y="5354320"/>
              <a:ext cx="686435" cy="3098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145415</xdr:colOff>
          <xdr:row>31</xdr:row>
          <xdr:rowOff>118110</xdr:rowOff>
        </xdr:from>
        <xdr:to>
          <xdr:col>8</xdr:col>
          <xdr:colOff>342265</xdr:colOff>
          <xdr:row>32</xdr:row>
          <xdr:rowOff>101600</xdr:rowOff>
        </xdr:to>
        <xdr:sp>
          <xdr:nvSpPr>
            <xdr:cNvPr id="336900" name="Object 4" hidden="1">
              <a:extLst>
                <a:ext uri="{63B3BB69-23CF-44E3-9099-C40C66FF867C}">
                  <a14:compatExt spid="_x0000_s336900"/>
                </a:ext>
              </a:extLst>
            </xdr:cNvPr>
            <xdr:cNvSpPr/>
          </xdr:nvSpPr>
          <xdr:spPr>
            <a:xfrm>
              <a:off x="3964305" y="5445760"/>
              <a:ext cx="995680" cy="164465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6</xdr:col>
      <xdr:colOff>62865</xdr:colOff>
      <xdr:row>42</xdr:row>
      <xdr:rowOff>62230</xdr:rowOff>
    </xdr:from>
    <xdr:to>
      <xdr:col>6</xdr:col>
      <xdr:colOff>723900</xdr:colOff>
      <xdr:row>43</xdr:row>
      <xdr:rowOff>90805</xdr:rowOff>
    </xdr:to>
    <xdr:sp>
      <xdr:nvSpPr>
        <xdr:cNvPr id="7" name="右箭头 6"/>
        <xdr:cNvSpPr/>
      </xdr:nvSpPr>
      <xdr:spPr>
        <a:xfrm>
          <a:off x="3090545" y="7199630"/>
          <a:ext cx="661035" cy="200025"/>
        </a:xfrm>
        <a:prstGeom prst="rightArrow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6</xdr:col>
      <xdr:colOff>74930</xdr:colOff>
      <xdr:row>33</xdr:row>
      <xdr:rowOff>74295</xdr:rowOff>
    </xdr:from>
    <xdr:to>
      <xdr:col>6</xdr:col>
      <xdr:colOff>735965</xdr:colOff>
      <xdr:row>34</xdr:row>
      <xdr:rowOff>93345</xdr:rowOff>
    </xdr:to>
    <xdr:sp>
      <xdr:nvSpPr>
        <xdr:cNvPr id="8" name="右箭头 7"/>
        <xdr:cNvSpPr/>
      </xdr:nvSpPr>
      <xdr:spPr>
        <a:xfrm>
          <a:off x="3102610" y="5763895"/>
          <a:ext cx="661035" cy="200025"/>
        </a:xfrm>
        <a:prstGeom prst="rightArrow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6</xdr:col>
      <xdr:colOff>74930</xdr:colOff>
      <xdr:row>28</xdr:row>
      <xdr:rowOff>85725</xdr:rowOff>
    </xdr:from>
    <xdr:to>
      <xdr:col>6</xdr:col>
      <xdr:colOff>735965</xdr:colOff>
      <xdr:row>29</xdr:row>
      <xdr:rowOff>104775</xdr:rowOff>
    </xdr:to>
    <xdr:sp>
      <xdr:nvSpPr>
        <xdr:cNvPr id="9" name="右箭头 8"/>
        <xdr:cNvSpPr/>
      </xdr:nvSpPr>
      <xdr:spPr>
        <a:xfrm>
          <a:off x="3102610" y="5013325"/>
          <a:ext cx="661035" cy="200025"/>
        </a:xfrm>
        <a:prstGeom prst="rightArrow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oleObject" Target="../embeddings/oleObject4.bin"/><Relationship Id="rId8" Type="http://schemas.openxmlformats.org/officeDocument/2006/relationships/image" Target="../media/image18.wmf"/><Relationship Id="rId7" Type="http://schemas.openxmlformats.org/officeDocument/2006/relationships/oleObject" Target="../embeddings/oleObject3.bin"/><Relationship Id="rId6" Type="http://schemas.openxmlformats.org/officeDocument/2006/relationships/image" Target="../media/image17.w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6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0" Type="http://schemas.openxmlformats.org/officeDocument/2006/relationships/image" Target="../media/image19.wmf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" Type="http://schemas.openxmlformats.org/officeDocument/2006/relationships/oleObject" Target="../embeddings/oleObject8.bin"/><Relationship Id="rId8" Type="http://schemas.openxmlformats.org/officeDocument/2006/relationships/image" Target="../media/image24.wmf"/><Relationship Id="rId7" Type="http://schemas.openxmlformats.org/officeDocument/2006/relationships/oleObject" Target="../embeddings/oleObject7.bin"/><Relationship Id="rId6" Type="http://schemas.openxmlformats.org/officeDocument/2006/relationships/image" Target="../media/image23.wmf"/><Relationship Id="rId5" Type="http://schemas.openxmlformats.org/officeDocument/2006/relationships/oleObject" Target="../embeddings/oleObject6.bin"/><Relationship Id="rId4" Type="http://schemas.openxmlformats.org/officeDocument/2006/relationships/image" Target="../media/image22.wmf"/><Relationship Id="rId3" Type="http://schemas.openxmlformats.org/officeDocument/2006/relationships/oleObject" Target="../embeddings/oleObject5.bin"/><Relationship Id="rId2" Type="http://schemas.openxmlformats.org/officeDocument/2006/relationships/vmlDrawing" Target="../drawings/vmlDrawing2.vml"/><Relationship Id="rId10" Type="http://schemas.openxmlformats.org/officeDocument/2006/relationships/image" Target="../media/image25.wmf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oleObject" Target="../embeddings/oleObject12.bin"/><Relationship Id="rId8" Type="http://schemas.openxmlformats.org/officeDocument/2006/relationships/image" Target="../media/image18.wmf"/><Relationship Id="rId7" Type="http://schemas.openxmlformats.org/officeDocument/2006/relationships/oleObject" Target="../embeddings/oleObject11.bin"/><Relationship Id="rId6" Type="http://schemas.openxmlformats.org/officeDocument/2006/relationships/image" Target="../media/image17.wmf"/><Relationship Id="rId5" Type="http://schemas.openxmlformats.org/officeDocument/2006/relationships/oleObject" Target="../embeddings/oleObject10.bin"/><Relationship Id="rId4" Type="http://schemas.openxmlformats.org/officeDocument/2006/relationships/image" Target="../media/image16.wmf"/><Relationship Id="rId3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0" Type="http://schemas.openxmlformats.org/officeDocument/2006/relationships/image" Target="../media/image19.wmf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AI51"/>
  <sheetViews>
    <sheetView zoomScale="115" zoomScaleNormal="115" workbookViewId="0">
      <selection activeCell="AM13" sqref="AM13"/>
    </sheetView>
  </sheetViews>
  <sheetFormatPr defaultColWidth="2.625" defaultRowHeight="13.5" customHeight="1"/>
  <cols>
    <col min="1" max="16384" width="2.625" style="207" customWidth="1"/>
  </cols>
  <sheetData>
    <row r="1" customHeight="1" spans="1:35">
      <c r="A1" s="208" t="s">
        <v>0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8"/>
      <c r="AG1" s="228"/>
      <c r="AH1" s="228"/>
      <c r="AI1" s="228"/>
    </row>
    <row r="2" customHeight="1" spans="1:35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</row>
    <row r="3" customHeight="1" spans="1:35">
      <c r="A3" s="209"/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  <c r="AH3" s="228"/>
      <c r="AI3" s="228"/>
    </row>
    <row r="4" customHeight="1" spans="1:35">
      <c r="A4" s="210"/>
      <c r="B4" s="211"/>
      <c r="C4" s="211"/>
      <c r="D4" s="211"/>
      <c r="E4" s="211"/>
      <c r="F4" s="211"/>
      <c r="G4" s="212"/>
      <c r="H4" s="210"/>
      <c r="I4" s="211"/>
      <c r="J4" s="211"/>
      <c r="K4" s="212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</row>
    <row r="5" customHeight="1" spans="1:35">
      <c r="A5" s="210"/>
      <c r="B5" s="211"/>
      <c r="C5" s="211"/>
      <c r="D5" s="211"/>
      <c r="E5" s="211"/>
      <c r="F5" s="211"/>
      <c r="G5" s="212"/>
      <c r="H5" s="210"/>
      <c r="I5" s="211"/>
      <c r="J5" s="211"/>
      <c r="K5" s="212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8"/>
      <c r="Z5" s="228"/>
      <c r="AA5" s="228"/>
      <c r="AB5" s="228"/>
      <c r="AC5" s="228"/>
      <c r="AD5" s="228"/>
      <c r="AE5" s="228"/>
      <c r="AF5" s="228"/>
      <c r="AG5" s="228"/>
      <c r="AH5" s="228"/>
      <c r="AI5" s="228"/>
    </row>
    <row r="6" customHeight="1" spans="1:35">
      <c r="A6" s="210"/>
      <c r="B6" s="211"/>
      <c r="C6" s="211"/>
      <c r="D6" s="211"/>
      <c r="E6" s="211"/>
      <c r="F6" s="211"/>
      <c r="G6" s="212"/>
      <c r="H6" s="213"/>
      <c r="I6" s="215"/>
      <c r="J6" s="215"/>
      <c r="K6" s="216"/>
      <c r="L6" s="228"/>
      <c r="M6" s="228"/>
      <c r="N6" s="228"/>
      <c r="O6" s="228"/>
      <c r="P6" s="228"/>
      <c r="Q6" s="228"/>
      <c r="R6" s="228"/>
      <c r="S6" s="228"/>
      <c r="T6" s="228"/>
      <c r="U6" s="228"/>
      <c r="V6" s="228"/>
      <c r="W6" s="228"/>
      <c r="X6" s="228"/>
      <c r="Y6" s="228"/>
      <c r="Z6" s="228"/>
      <c r="AA6" s="228"/>
      <c r="AB6" s="228"/>
      <c r="AC6" s="228"/>
      <c r="AD6" s="228"/>
      <c r="AE6" s="228"/>
      <c r="AF6" s="228"/>
      <c r="AG6" s="228"/>
      <c r="AH6" s="228"/>
      <c r="AI6" s="228"/>
    </row>
    <row r="7" customHeight="1" spans="1:35">
      <c r="A7" s="210"/>
      <c r="B7" s="211"/>
      <c r="C7" s="211"/>
      <c r="D7" s="211"/>
      <c r="E7" s="211"/>
      <c r="F7" s="211"/>
      <c r="G7" s="212"/>
      <c r="H7" s="214"/>
      <c r="I7" s="214"/>
      <c r="J7" s="214"/>
      <c r="K7" s="214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  <c r="AD7" s="228"/>
      <c r="AE7" s="228"/>
      <c r="AF7" s="228"/>
      <c r="AG7" s="228"/>
      <c r="AH7" s="228"/>
      <c r="AI7" s="228"/>
    </row>
    <row r="8" customHeight="1" spans="1:35">
      <c r="A8" s="213"/>
      <c r="B8" s="215"/>
      <c r="C8" s="215"/>
      <c r="D8" s="215"/>
      <c r="E8" s="215"/>
      <c r="F8" s="215"/>
      <c r="G8" s="216"/>
      <c r="H8" s="214"/>
      <c r="I8" s="214"/>
      <c r="J8" s="214"/>
      <c r="K8" s="214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</row>
    <row r="9" customHeight="1" spans="1:35">
      <c r="A9" s="214"/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8"/>
      <c r="AC9" s="228"/>
      <c r="AD9" s="228"/>
      <c r="AE9" s="228"/>
      <c r="AF9" s="228"/>
      <c r="AG9" s="228"/>
      <c r="AH9" s="228"/>
      <c r="AI9" s="228"/>
    </row>
    <row r="10" customHeight="1" spans="1:35">
      <c r="A10" s="214"/>
      <c r="B10" s="214"/>
      <c r="C10" s="214"/>
      <c r="D10" s="214"/>
      <c r="E10" s="217"/>
      <c r="F10" s="218"/>
      <c r="G10" s="218"/>
      <c r="H10" s="218"/>
      <c r="I10" s="218"/>
      <c r="J10" s="218"/>
      <c r="K10" s="237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  <c r="AD10" s="228"/>
      <c r="AE10" s="228"/>
      <c r="AF10" s="228"/>
      <c r="AG10" s="228"/>
      <c r="AH10" s="228"/>
      <c r="AI10" s="228"/>
    </row>
    <row r="11" customHeight="1" spans="1:35">
      <c r="A11" s="214"/>
      <c r="B11" s="214"/>
      <c r="C11" s="214"/>
      <c r="D11" s="214"/>
      <c r="E11" s="210"/>
      <c r="F11" s="211"/>
      <c r="G11" s="211"/>
      <c r="H11" s="211"/>
      <c r="I11" s="211"/>
      <c r="J11" s="211"/>
      <c r="K11" s="212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  <c r="AA11" s="228"/>
      <c r="AB11" s="228"/>
      <c r="AC11" s="228"/>
      <c r="AD11" s="228"/>
      <c r="AE11" s="228"/>
      <c r="AF11" s="228"/>
      <c r="AG11" s="228"/>
      <c r="AH11" s="228"/>
      <c r="AI11" s="228"/>
    </row>
    <row r="12" customHeight="1" spans="1:35">
      <c r="A12" s="219"/>
      <c r="B12" s="220"/>
      <c r="C12" s="220"/>
      <c r="D12" s="221"/>
      <c r="E12" s="210"/>
      <c r="F12" s="211"/>
      <c r="G12" s="211"/>
      <c r="H12" s="211"/>
      <c r="I12" s="211"/>
      <c r="J12" s="211"/>
      <c r="K12" s="212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</row>
    <row r="13" customHeight="1" spans="1:35">
      <c r="A13" s="222"/>
      <c r="B13" s="223"/>
      <c r="C13" s="223"/>
      <c r="D13" s="224"/>
      <c r="E13" s="210"/>
      <c r="F13" s="211"/>
      <c r="G13" s="211"/>
      <c r="H13" s="211"/>
      <c r="I13" s="211"/>
      <c r="J13" s="211"/>
      <c r="K13" s="212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</row>
    <row r="14" customHeight="1" spans="1:35">
      <c r="A14" s="222"/>
      <c r="B14" s="223"/>
      <c r="C14" s="223"/>
      <c r="D14" s="224"/>
      <c r="E14" s="210"/>
      <c r="F14" s="211"/>
      <c r="G14" s="211"/>
      <c r="H14" s="211"/>
      <c r="I14" s="211"/>
      <c r="J14" s="211"/>
      <c r="K14" s="212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</row>
    <row r="15" customHeight="1" spans="1:35">
      <c r="A15" s="225"/>
      <c r="B15" s="226"/>
      <c r="C15" s="226"/>
      <c r="D15" s="227"/>
      <c r="E15" s="213"/>
      <c r="F15" s="215"/>
      <c r="G15" s="215"/>
      <c r="H15" s="215"/>
      <c r="I15" s="215"/>
      <c r="J15" s="215"/>
      <c r="K15" s="216"/>
      <c r="L15" s="228" t="s">
        <v>2</v>
      </c>
      <c r="M15" s="228"/>
      <c r="N15" s="228"/>
      <c r="O15" s="228"/>
      <c r="P15" s="228"/>
      <c r="Q15" s="228"/>
      <c r="R15" s="228"/>
      <c r="S15" s="228"/>
      <c r="T15" s="228" t="s">
        <v>3</v>
      </c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</row>
    <row r="16" customHeight="1" spans="1:35">
      <c r="A16" s="228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</row>
    <row r="29" ht="26" customHeight="1" spans="2:35">
      <c r="B29" s="229" t="s">
        <v>4</v>
      </c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9"/>
      <c r="AE29" s="229"/>
      <c r="AF29" s="229"/>
      <c r="AG29" s="229"/>
      <c r="AH29" s="229"/>
      <c r="AI29" s="229"/>
    </row>
    <row r="30" ht="26" customHeight="1" spans="2:35">
      <c r="B30" s="229" t="s">
        <v>5</v>
      </c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9"/>
      <c r="Z30" s="229"/>
      <c r="AA30" s="229"/>
      <c r="AB30" s="229"/>
      <c r="AC30" s="229"/>
      <c r="AD30" s="229"/>
      <c r="AE30" s="229"/>
      <c r="AF30" s="229"/>
      <c r="AG30" s="229"/>
      <c r="AH30" s="229"/>
      <c r="AI30" s="229"/>
    </row>
    <row r="31" ht="26" customHeight="1" spans="2:35">
      <c r="B31" s="229" t="s">
        <v>6</v>
      </c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  <c r="AG31" s="229"/>
      <c r="AH31" s="229"/>
      <c r="AI31" s="229"/>
    </row>
    <row r="32" ht="26" customHeight="1" spans="2:35">
      <c r="B32" s="229" t="s">
        <v>7</v>
      </c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29"/>
      <c r="AI32" s="229"/>
    </row>
    <row r="33" customHeight="1" spans="2:4">
      <c r="B33" s="230"/>
      <c r="C33" s="230"/>
      <c r="D33" s="231"/>
    </row>
    <row r="34" customHeight="1" spans="2:4">
      <c r="B34" s="151" t="s">
        <v>8</v>
      </c>
      <c r="C34" s="150"/>
      <c r="D34" s="232"/>
    </row>
    <row r="35" customHeight="1" spans="2:35">
      <c r="B35" s="233" t="s">
        <v>9</v>
      </c>
      <c r="C35" s="233"/>
      <c r="D35" s="233"/>
      <c r="E35" s="233"/>
      <c r="F35" s="233"/>
      <c r="G35" s="233"/>
      <c r="H35" s="233"/>
      <c r="I35" s="233"/>
      <c r="J35" s="233"/>
      <c r="K35" s="233"/>
      <c r="L35" s="233"/>
      <c r="M35" s="233" t="s">
        <v>10</v>
      </c>
      <c r="N35" s="233"/>
      <c r="O35" s="233"/>
      <c r="P35" s="233"/>
      <c r="Q35" s="233"/>
      <c r="R35" s="233"/>
      <c r="S35" s="233"/>
      <c r="T35" s="233"/>
      <c r="U35" s="233"/>
      <c r="V35" s="233"/>
      <c r="W35" s="233"/>
      <c r="X35" s="233" t="s">
        <v>11</v>
      </c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</row>
    <row r="36" customHeight="1" spans="2:35">
      <c r="B36" s="204" t="s">
        <v>12</v>
      </c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38" t="s">
        <v>13</v>
      </c>
      <c r="N36" s="239"/>
      <c r="O36" s="239"/>
      <c r="P36" s="239"/>
      <c r="Q36" s="239"/>
      <c r="R36" s="239"/>
      <c r="S36" s="239"/>
      <c r="T36" s="239"/>
      <c r="U36" s="239"/>
      <c r="V36" s="239"/>
      <c r="W36" s="246"/>
      <c r="X36" s="247" t="s">
        <v>14</v>
      </c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62"/>
    </row>
    <row r="37" customHeight="1" spans="2:35">
      <c r="B37" s="204" t="s">
        <v>15</v>
      </c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40"/>
      <c r="N37" s="241"/>
      <c r="O37" s="241"/>
      <c r="P37" s="241"/>
      <c r="Q37" s="241"/>
      <c r="R37" s="241"/>
      <c r="S37" s="241"/>
      <c r="T37" s="241"/>
      <c r="U37" s="241"/>
      <c r="V37" s="241"/>
      <c r="W37" s="248"/>
      <c r="X37" s="249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63"/>
    </row>
    <row r="38" ht="62" customHeight="1" spans="2:35">
      <c r="B38" s="234" t="s">
        <v>16</v>
      </c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42"/>
      <c r="N38" s="243"/>
      <c r="O38" s="243"/>
      <c r="P38" s="243"/>
      <c r="Q38" s="243"/>
      <c r="R38" s="243"/>
      <c r="S38" s="243"/>
      <c r="T38" s="243"/>
      <c r="U38" s="243"/>
      <c r="V38" s="243"/>
      <c r="W38" s="250"/>
      <c r="X38" s="251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64"/>
    </row>
    <row r="39" customHeight="1" spans="2:35">
      <c r="B39" s="204" t="s">
        <v>17</v>
      </c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44" t="s">
        <v>18</v>
      </c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52" t="s">
        <v>19</v>
      </c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65"/>
    </row>
    <row r="40" customHeight="1" spans="2:35">
      <c r="B40" s="204" t="s">
        <v>20</v>
      </c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44" t="s">
        <v>21</v>
      </c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53"/>
      <c r="Y40" s="260"/>
      <c r="Z40" s="260"/>
      <c r="AA40" s="260"/>
      <c r="AB40" s="260"/>
      <c r="AC40" s="260"/>
      <c r="AD40" s="260"/>
      <c r="AE40" s="260"/>
      <c r="AF40" s="260"/>
      <c r="AG40" s="260"/>
      <c r="AH40" s="260"/>
      <c r="AI40" s="266"/>
    </row>
    <row r="41" customHeight="1" spans="2:35">
      <c r="B41" s="204" t="s">
        <v>22</v>
      </c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44" t="s">
        <v>23</v>
      </c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53"/>
      <c r="Y41" s="260"/>
      <c r="Z41" s="260"/>
      <c r="AA41" s="260"/>
      <c r="AB41" s="260"/>
      <c r="AC41" s="260"/>
      <c r="AD41" s="260"/>
      <c r="AE41" s="260"/>
      <c r="AF41" s="260"/>
      <c r="AG41" s="260"/>
      <c r="AH41" s="260"/>
      <c r="AI41" s="266"/>
    </row>
    <row r="42" customHeight="1" spans="2:35">
      <c r="B42" s="204" t="s">
        <v>24</v>
      </c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44" t="s">
        <v>25</v>
      </c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53"/>
      <c r="Y42" s="260"/>
      <c r="Z42" s="260"/>
      <c r="AA42" s="260"/>
      <c r="AB42" s="260"/>
      <c r="AC42" s="260"/>
      <c r="AD42" s="260"/>
      <c r="AE42" s="260"/>
      <c r="AF42" s="260"/>
      <c r="AG42" s="260"/>
      <c r="AH42" s="260"/>
      <c r="AI42" s="266"/>
    </row>
    <row r="43" customHeight="1" spans="2:35">
      <c r="B43" s="204" t="s">
        <v>26</v>
      </c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44" t="s">
        <v>18</v>
      </c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53"/>
      <c r="Y43" s="260"/>
      <c r="Z43" s="260"/>
      <c r="AA43" s="260"/>
      <c r="AB43" s="260"/>
      <c r="AC43" s="260"/>
      <c r="AD43" s="260"/>
      <c r="AE43" s="260"/>
      <c r="AF43" s="260"/>
      <c r="AG43" s="260"/>
      <c r="AH43" s="260"/>
      <c r="AI43" s="266"/>
    </row>
    <row r="44" customHeight="1" spans="2:35">
      <c r="B44" s="204" t="s">
        <v>20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44" t="s">
        <v>21</v>
      </c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53"/>
      <c r="Y44" s="260"/>
      <c r="Z44" s="260"/>
      <c r="AA44" s="260"/>
      <c r="AB44" s="260"/>
      <c r="AC44" s="260"/>
      <c r="AD44" s="260"/>
      <c r="AE44" s="260"/>
      <c r="AF44" s="260"/>
      <c r="AG44" s="260"/>
      <c r="AH44" s="260"/>
      <c r="AI44" s="266"/>
    </row>
    <row r="45" customHeight="1" spans="2:35">
      <c r="B45" s="204" t="s">
        <v>22</v>
      </c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44" t="s">
        <v>23</v>
      </c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253"/>
      <c r="Y45" s="260"/>
      <c r="Z45" s="260"/>
      <c r="AA45" s="260"/>
      <c r="AB45" s="260"/>
      <c r="AC45" s="260"/>
      <c r="AD45" s="260"/>
      <c r="AE45" s="260"/>
      <c r="AF45" s="260"/>
      <c r="AG45" s="260"/>
      <c r="AH45" s="260"/>
      <c r="AI45" s="266"/>
    </row>
    <row r="46" customHeight="1" spans="2:35">
      <c r="B46" s="204" t="s">
        <v>24</v>
      </c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44" t="s">
        <v>25</v>
      </c>
      <c r="N46" s="244"/>
      <c r="O46" s="244"/>
      <c r="P46" s="244"/>
      <c r="Q46" s="244"/>
      <c r="R46" s="244"/>
      <c r="S46" s="244"/>
      <c r="T46" s="244"/>
      <c r="U46" s="244"/>
      <c r="V46" s="244"/>
      <c r="W46" s="244"/>
      <c r="X46" s="254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7"/>
    </row>
    <row r="47" customHeight="1" spans="2:35">
      <c r="B47" s="204" t="s">
        <v>27</v>
      </c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44" t="s">
        <v>28</v>
      </c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55" t="s">
        <v>29</v>
      </c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</row>
    <row r="48" customHeight="1" spans="2:35">
      <c r="B48" s="204" t="s">
        <v>30</v>
      </c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44" t="s">
        <v>31</v>
      </c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</row>
    <row r="49" customHeight="1" spans="2:35">
      <c r="B49" s="204" t="s">
        <v>32</v>
      </c>
      <c r="C49" s="204"/>
      <c r="D49" s="204"/>
      <c r="E49" s="204"/>
      <c r="F49" s="204"/>
      <c r="G49" s="204"/>
      <c r="H49" s="204"/>
      <c r="I49" s="204"/>
      <c r="J49" s="204"/>
      <c r="K49" s="204"/>
      <c r="L49" s="204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</row>
    <row r="50" ht="27" spans="2:35">
      <c r="B50" s="235" t="s">
        <v>33</v>
      </c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35"/>
      <c r="Z50" s="235"/>
      <c r="AA50" s="235"/>
      <c r="AB50" s="235"/>
      <c r="AC50" s="235"/>
      <c r="AD50" s="235"/>
      <c r="AE50" s="235"/>
      <c r="AF50" s="235"/>
      <c r="AG50" s="235"/>
      <c r="AH50" s="235"/>
      <c r="AI50" s="235"/>
    </row>
    <row r="51" ht="18.75" spans="2:35">
      <c r="B51" s="236" t="s">
        <v>34</v>
      </c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236"/>
      <c r="AI51" s="236"/>
    </row>
  </sheetData>
  <sheetProtection password="BF12" sheet="1" selectLockedCells="1" selectUnlockedCells="1" objects="1"/>
  <mergeCells count="60">
    <mergeCell ref="A1:K1"/>
    <mergeCell ref="A2:K2"/>
    <mergeCell ref="A3:K3"/>
    <mergeCell ref="L15:S15"/>
    <mergeCell ref="T15:AA15"/>
    <mergeCell ref="AB15:AI15"/>
    <mergeCell ref="A16:AI16"/>
    <mergeCell ref="B29:AI29"/>
    <mergeCell ref="B30:AI30"/>
    <mergeCell ref="B31:AI31"/>
    <mergeCell ref="B32:AI32"/>
    <mergeCell ref="B35:L35"/>
    <mergeCell ref="M35:W35"/>
    <mergeCell ref="X35:AI35"/>
    <mergeCell ref="B36:L36"/>
    <mergeCell ref="B37:L37"/>
    <mergeCell ref="B38:L38"/>
    <mergeCell ref="B39:L39"/>
    <mergeCell ref="M39:W39"/>
    <mergeCell ref="B40:L40"/>
    <mergeCell ref="M40:W40"/>
    <mergeCell ref="B41:L41"/>
    <mergeCell ref="M41:W41"/>
    <mergeCell ref="B42:L42"/>
    <mergeCell ref="M42:W42"/>
    <mergeCell ref="B43:L43"/>
    <mergeCell ref="M43:W43"/>
    <mergeCell ref="B44:L44"/>
    <mergeCell ref="M44:W44"/>
    <mergeCell ref="B45:L45"/>
    <mergeCell ref="M45:W45"/>
    <mergeCell ref="B46:L46"/>
    <mergeCell ref="M46:W46"/>
    <mergeCell ref="B47:L47"/>
    <mergeCell ref="M47:W47"/>
    <mergeCell ref="X47:AI47"/>
    <mergeCell ref="B48:L48"/>
    <mergeCell ref="M48:W48"/>
    <mergeCell ref="X48:AI48"/>
    <mergeCell ref="B49:L49"/>
    <mergeCell ref="M49:W49"/>
    <mergeCell ref="X49:AI49"/>
    <mergeCell ref="B50:AI50"/>
    <mergeCell ref="B51:AI51"/>
    <mergeCell ref="L1:O3"/>
    <mergeCell ref="P1:S3"/>
    <mergeCell ref="T1:W3"/>
    <mergeCell ref="X1:AA3"/>
    <mergeCell ref="AB1:AE3"/>
    <mergeCell ref="AF1:AI3"/>
    <mergeCell ref="A4:G8"/>
    <mergeCell ref="H4:K6"/>
    <mergeCell ref="L4:S14"/>
    <mergeCell ref="T4:AA14"/>
    <mergeCell ref="AB4:AI14"/>
    <mergeCell ref="E10:K15"/>
    <mergeCell ref="A12:D15"/>
    <mergeCell ref="X39:AI46"/>
    <mergeCell ref="M36:W38"/>
    <mergeCell ref="X36:AI38"/>
  </mergeCells>
  <printOptions horizontalCentered="1"/>
  <pageMargins left="0.590277777777778" right="0.590277777777778" top="0.393055555555556" bottom="0.393055555555556" header="0.393055555555556" footer="0.550694444444444"/>
  <pageSetup paperSize="9" scale="95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70"/>
  <sheetViews>
    <sheetView zoomScale="115" zoomScaleNormal="115" workbookViewId="0">
      <selection activeCell="D15" sqref="D15"/>
    </sheetView>
  </sheetViews>
  <sheetFormatPr defaultColWidth="9" defaultRowHeight="13.5"/>
  <cols>
    <col min="1" max="1" width="2.58333333333333" style="168" customWidth="1"/>
    <col min="2" max="2" width="21.3833333333333" style="168" customWidth="1"/>
    <col min="3" max="4" width="7.725" style="168" customWidth="1"/>
    <col min="5" max="5" width="4.14166666666667" style="168" customWidth="1"/>
    <col min="6" max="6" width="6.375" style="168" customWidth="1"/>
    <col min="7" max="7" width="7.375" style="168" customWidth="1"/>
    <col min="8" max="8" width="19.375" style="168" customWidth="1"/>
    <col min="9" max="9" width="2.40833333333333" style="168" customWidth="1"/>
    <col min="10" max="10" width="9" style="168"/>
    <col min="11" max="11" width="1.36666666666667" style="168" customWidth="1"/>
    <col min="12" max="16384" width="9" style="168"/>
  </cols>
  <sheetData>
    <row r="1" ht="18.75" spans="1:9">
      <c r="A1" s="136"/>
      <c r="B1" s="137" t="s">
        <v>35</v>
      </c>
      <c r="C1" s="137"/>
      <c r="D1" s="137"/>
      <c r="E1" s="136"/>
      <c r="F1" s="136"/>
      <c r="G1" s="136"/>
      <c r="H1" s="136"/>
      <c r="I1" s="136"/>
    </row>
    <row r="2" spans="1:9">
      <c r="A2" s="136"/>
      <c r="B2" s="136"/>
      <c r="C2" s="136"/>
      <c r="D2" s="136"/>
      <c r="E2" s="138"/>
      <c r="G2" s="169" t="s">
        <v>36</v>
      </c>
      <c r="H2" s="170"/>
      <c r="I2" s="136"/>
    </row>
    <row r="3" spans="1:9">
      <c r="A3" s="136"/>
      <c r="B3" s="136"/>
      <c r="C3" s="136"/>
      <c r="D3" s="136"/>
      <c r="E3" s="138"/>
      <c r="G3" s="170"/>
      <c r="H3" s="170"/>
      <c r="I3" s="136"/>
    </row>
    <row r="4" spans="1:9">
      <c r="A4" s="136"/>
      <c r="B4" s="136"/>
      <c r="C4" s="136"/>
      <c r="D4" s="136"/>
      <c r="E4" s="138"/>
      <c r="G4" s="170"/>
      <c r="H4" s="170"/>
      <c r="I4" s="136"/>
    </row>
    <row r="5" spans="1:9">
      <c r="A5" s="136"/>
      <c r="B5" s="136"/>
      <c r="C5" s="136"/>
      <c r="D5" s="136"/>
      <c r="E5" s="138"/>
      <c r="G5" s="170"/>
      <c r="H5" s="170"/>
      <c r="I5" s="136"/>
    </row>
    <row r="6" spans="1:9">
      <c r="A6" s="136"/>
      <c r="B6" s="136"/>
      <c r="C6" s="136"/>
      <c r="D6" s="136"/>
      <c r="E6" s="138"/>
      <c r="G6" s="171" t="s">
        <v>34</v>
      </c>
      <c r="H6" s="171"/>
      <c r="I6" s="136"/>
    </row>
    <row r="7" spans="1:9">
      <c r="A7" s="136"/>
      <c r="B7" s="136"/>
      <c r="C7" s="136"/>
      <c r="D7" s="136"/>
      <c r="E7" s="138"/>
      <c r="I7" s="136"/>
    </row>
    <row r="8" spans="1:9">
      <c r="A8" s="136"/>
      <c r="B8" s="136"/>
      <c r="C8" s="136"/>
      <c r="D8" s="136"/>
      <c r="E8" s="138"/>
      <c r="I8" s="136"/>
    </row>
    <row r="9" spans="1:9">
      <c r="A9" s="136"/>
      <c r="B9" s="136"/>
      <c r="C9" s="136"/>
      <c r="D9" s="136"/>
      <c r="E9" s="136"/>
      <c r="I9" s="136"/>
    </row>
    <row r="10" ht="14.25" spans="1:9">
      <c r="A10" s="136"/>
      <c r="B10" s="140" t="s">
        <v>37</v>
      </c>
      <c r="C10" s="140" t="s">
        <v>38</v>
      </c>
      <c r="D10" s="140" t="s">
        <v>39</v>
      </c>
      <c r="E10" s="136"/>
      <c r="F10" s="139" t="s">
        <v>40</v>
      </c>
      <c r="G10" s="139"/>
      <c r="H10" s="139"/>
      <c r="I10" s="136"/>
    </row>
    <row r="11" spans="1:9">
      <c r="A11" s="136"/>
      <c r="B11" s="141" t="s">
        <v>41</v>
      </c>
      <c r="C11" s="141" t="s">
        <v>42</v>
      </c>
      <c r="D11" s="142">
        <v>10.3</v>
      </c>
      <c r="E11" s="136"/>
      <c r="F11" s="139" t="s">
        <v>43</v>
      </c>
      <c r="G11" s="139" t="s">
        <v>44</v>
      </c>
      <c r="H11" s="139" t="s">
        <v>10</v>
      </c>
      <c r="I11" s="136"/>
    </row>
    <row r="12" spans="1:9">
      <c r="A12" s="136"/>
      <c r="B12" s="139" t="s">
        <v>45</v>
      </c>
      <c r="C12" s="139" t="s">
        <v>46</v>
      </c>
      <c r="D12" s="145">
        <v>17.25</v>
      </c>
      <c r="E12" s="136"/>
      <c r="F12" s="139">
        <v>24000</v>
      </c>
      <c r="G12" s="143">
        <f>100/F12*60+0.1</f>
        <v>0.35</v>
      </c>
      <c r="H12" s="144" t="s">
        <v>47</v>
      </c>
      <c r="I12" s="136"/>
    </row>
    <row r="13" spans="1:9">
      <c r="A13" s="136"/>
      <c r="B13" s="139" t="s">
        <v>48</v>
      </c>
      <c r="C13" s="139" t="s">
        <v>49</v>
      </c>
      <c r="D13" s="145">
        <v>0.75</v>
      </c>
      <c r="E13" s="136"/>
      <c r="F13" s="139">
        <v>24000</v>
      </c>
      <c r="G13" s="143">
        <f>18/F13*60+0.1</f>
        <v>0.145</v>
      </c>
      <c r="H13" s="144" t="s">
        <v>50</v>
      </c>
      <c r="I13" s="136"/>
    </row>
    <row r="14" spans="1:9">
      <c r="A14" s="136"/>
      <c r="B14" s="141" t="s">
        <v>51</v>
      </c>
      <c r="C14" s="141" t="s">
        <v>52</v>
      </c>
      <c r="D14" s="142">
        <v>60</v>
      </c>
      <c r="E14" s="136"/>
      <c r="F14" s="139">
        <f>D24*2</f>
        <v>1246</v>
      </c>
      <c r="G14" s="143">
        <f>1/F14*60+0.1</f>
        <v>0.148154093097913</v>
      </c>
      <c r="H14" s="144" t="s">
        <v>53</v>
      </c>
      <c r="I14" s="136"/>
    </row>
    <row r="15" customHeight="1" spans="1:9">
      <c r="A15" s="136"/>
      <c r="B15" s="139" t="s">
        <v>54</v>
      </c>
      <c r="C15" s="139" t="s">
        <v>55</v>
      </c>
      <c r="D15" s="145">
        <v>0.75</v>
      </c>
      <c r="E15" s="136"/>
      <c r="F15" s="139">
        <f>INT(D24*0.7)</f>
        <v>436</v>
      </c>
      <c r="G15" s="143">
        <f>3.14*($C$30/2)/F15*60+0.1</f>
        <v>0.380871559633028</v>
      </c>
      <c r="H15" s="144" t="s">
        <v>56</v>
      </c>
      <c r="I15" s="136"/>
    </row>
    <row r="16" spans="1:9">
      <c r="A16" s="136"/>
      <c r="B16" s="141" t="s">
        <v>57</v>
      </c>
      <c r="C16" s="141" t="s">
        <v>58</v>
      </c>
      <c r="D16" s="142">
        <v>45</v>
      </c>
      <c r="E16" s="136"/>
      <c r="F16" s="139">
        <f>D24</f>
        <v>623</v>
      </c>
      <c r="G16" s="143">
        <f>3.14*($C$30)/F16*60+0.1</f>
        <v>0.493130016051364</v>
      </c>
      <c r="H16" s="144" t="s">
        <v>59</v>
      </c>
      <c r="I16" s="136"/>
    </row>
    <row r="17" spans="1:9">
      <c r="A17" s="136"/>
      <c r="B17" s="141" t="s">
        <v>60</v>
      </c>
      <c r="C17" s="141" t="s">
        <v>61</v>
      </c>
      <c r="D17" s="146">
        <f>2*TAN(RADIANS(D14))*D13+$D$11</f>
        <v>12.8980762113533</v>
      </c>
      <c r="E17" s="136"/>
      <c r="F17" s="139">
        <f>D24*4</f>
        <v>2492</v>
      </c>
      <c r="G17" s="143">
        <f>3.14*($C$30/2)/F17*60+0.1</f>
        <v>0.149141252006421</v>
      </c>
      <c r="H17" s="144" t="s">
        <v>62</v>
      </c>
      <c r="I17" s="136"/>
    </row>
    <row r="18" spans="1:9">
      <c r="A18" s="136"/>
      <c r="B18" s="139" t="s">
        <v>63</v>
      </c>
      <c r="C18" s="139" t="s">
        <v>64</v>
      </c>
      <c r="D18" s="146">
        <f>2*TAN(RADIANS(D16))*D15+$D$11</f>
        <v>11.8</v>
      </c>
      <c r="E18" s="136"/>
      <c r="F18" s="139">
        <v>24000</v>
      </c>
      <c r="G18" s="143">
        <f>118/F18*60+0.1</f>
        <v>0.395</v>
      </c>
      <c r="H18" s="144" t="s">
        <v>65</v>
      </c>
      <c r="I18" s="136"/>
    </row>
    <row r="19" spans="1:9">
      <c r="A19" s="136"/>
      <c r="B19" s="139" t="s">
        <v>66</v>
      </c>
      <c r="C19" s="139"/>
      <c r="D19" s="146">
        <f>(D17-D11)/2</f>
        <v>1.29903810567666</v>
      </c>
      <c r="E19" s="136"/>
      <c r="F19" s="139">
        <v>24000</v>
      </c>
      <c r="G19" s="143">
        <f>300/F19*60+0.1</f>
        <v>0.85</v>
      </c>
      <c r="H19" s="144" t="s">
        <v>67</v>
      </c>
      <c r="I19" s="136"/>
    </row>
    <row r="20" spans="1:9">
      <c r="A20" s="136"/>
      <c r="B20" s="139" t="s">
        <v>68</v>
      </c>
      <c r="C20" s="139"/>
      <c r="D20" s="146">
        <f>(D18-D11)/2</f>
        <v>0.75</v>
      </c>
      <c r="E20" s="136"/>
      <c r="F20" s="139" t="s">
        <v>69</v>
      </c>
      <c r="G20" s="143">
        <f>SUM(G11:G19)</f>
        <v>2.91129692078873</v>
      </c>
      <c r="H20" s="144" t="s">
        <v>70</v>
      </c>
      <c r="I20" s="136"/>
    </row>
    <row r="21" spans="1:9">
      <c r="A21" s="136"/>
      <c r="B21" s="139" t="s">
        <v>71</v>
      </c>
      <c r="C21" s="139"/>
      <c r="D21" s="146">
        <f>D20/TAN(RADIANS(D14))</f>
        <v>0.433012701892219</v>
      </c>
      <c r="E21" s="136"/>
      <c r="F21" s="147" t="s">
        <v>72</v>
      </c>
      <c r="G21" s="136"/>
      <c r="H21" s="136"/>
      <c r="I21" s="136"/>
    </row>
    <row r="22" spans="1:9">
      <c r="A22" s="136"/>
      <c r="B22" s="139" t="s">
        <v>73</v>
      </c>
      <c r="C22" s="139"/>
      <c r="D22" s="142">
        <v>150</v>
      </c>
      <c r="E22" s="136"/>
      <c r="F22" s="136"/>
      <c r="G22" s="136"/>
      <c r="H22" s="136"/>
      <c r="I22" s="136"/>
    </row>
    <row r="23" spans="1:9">
      <c r="A23" s="136"/>
      <c r="B23" s="139" t="s">
        <v>74</v>
      </c>
      <c r="C23" s="139"/>
      <c r="D23" s="165">
        <f>INT(1000*D22/(3.14*C29))</f>
        <v>5192</v>
      </c>
      <c r="E23" s="136"/>
      <c r="F23" s="136"/>
      <c r="G23" s="136"/>
      <c r="H23" s="136"/>
      <c r="I23" s="136"/>
    </row>
    <row r="24" spans="1:9">
      <c r="A24" s="136"/>
      <c r="B24" s="139" t="s">
        <v>75</v>
      </c>
      <c r="C24" s="139"/>
      <c r="D24" s="165">
        <f>INT(D23*F24)</f>
        <v>623</v>
      </c>
      <c r="E24" s="147"/>
      <c r="F24" s="166">
        <f>IF(C27&gt;=140,0.16,IF(C27&gt;=120,0.15,IF(C27&gt;=100,0.12,IF(C27&gt;=85,0.1,0))))</f>
        <v>0.12</v>
      </c>
      <c r="G24" s="136"/>
      <c r="H24" s="136"/>
      <c r="I24" s="136"/>
    </row>
    <row r="25" ht="3" customHeight="1" spans="1:9">
      <c r="A25" s="136"/>
      <c r="B25" s="136"/>
      <c r="C25" s="136"/>
      <c r="D25" s="136"/>
      <c r="E25" s="136"/>
      <c r="F25" s="136"/>
      <c r="G25" s="136"/>
      <c r="H25" s="136"/>
      <c r="I25" s="136"/>
    </row>
    <row r="26" spans="1:9">
      <c r="A26" s="136"/>
      <c r="B26" s="151" t="s">
        <v>76</v>
      </c>
      <c r="C26" s="136"/>
      <c r="D26" s="136"/>
      <c r="E26" s="136"/>
      <c r="F26" s="136"/>
      <c r="G26" s="136"/>
      <c r="H26" s="136"/>
      <c r="I26" s="136"/>
    </row>
    <row r="27" spans="1:9">
      <c r="A27" s="136"/>
      <c r="B27" s="202" t="str">
        <f>"自动选择： RDE"&amp;D14&amp;"."&amp;D16&amp;"-"</f>
        <v>自动选择： RDE60.45-</v>
      </c>
      <c r="C27" s="153">
        <f>IF(D11&gt;=14,140,IF(D11&gt;=12,120,IF(D11&gt;=10,100,IF(D11&gt;=8.6,85,0))))</f>
        <v>100</v>
      </c>
      <c r="D27" s="203" t="s">
        <v>77</v>
      </c>
      <c r="E27" s="154">
        <f>(D12+D21-D13)*10</f>
        <v>169.330127018922</v>
      </c>
      <c r="F27" s="136"/>
      <c r="G27" s="136"/>
      <c r="H27" s="136"/>
      <c r="I27" s="136"/>
    </row>
    <row r="28" ht="3" customHeight="1" spans="1:9">
      <c r="A28" s="136"/>
      <c r="B28" s="136"/>
      <c r="C28" s="136"/>
      <c r="D28" s="136"/>
      <c r="E28" s="136"/>
      <c r="F28" s="136"/>
      <c r="G28" s="136"/>
      <c r="H28" s="136"/>
      <c r="I28" s="136"/>
    </row>
    <row r="29" spans="1:9">
      <c r="A29" s="136"/>
      <c r="B29" s="139" t="s">
        <v>78</v>
      </c>
      <c r="C29" s="139">
        <f>IF(C27=85,7.8,IF(C27=100,9.2,IF(C27=110,10.2,IF(C27=120,11.2,IF(C27=130,12,IF(C27=140,13,IF(C27=150,14,0)))))))</f>
        <v>9.2</v>
      </c>
      <c r="D29" s="139"/>
      <c r="E29" s="136"/>
      <c r="I29" s="136"/>
    </row>
    <row r="30" spans="1:9">
      <c r="A30" s="136"/>
      <c r="B30" s="139" t="s">
        <v>79</v>
      </c>
      <c r="C30" s="157">
        <f>ROUND((IF(C29=0,0,(D18-C29)/2)),2)</f>
        <v>1.3</v>
      </c>
      <c r="D30" s="157"/>
      <c r="E30" s="136"/>
      <c r="I30" s="136"/>
    </row>
    <row r="31" spans="1:9">
      <c r="A31" s="136"/>
      <c r="B31" s="139" t="s">
        <v>80</v>
      </c>
      <c r="C31" s="139">
        <f>IF(C27=85,1,IF(C27=100,1.5,IF(C27=110,1.5,IF(C27=120,1.6,IF(C27=130,1.8,IF(C27=140,1.9,IF(C27=150,2,0)))))))</f>
        <v>1.5</v>
      </c>
      <c r="D31" s="139"/>
      <c r="E31" s="136"/>
      <c r="I31" s="136"/>
    </row>
    <row r="32" spans="1:9">
      <c r="A32" s="136"/>
      <c r="B32" s="139" t="s">
        <v>81</v>
      </c>
      <c r="C32" s="139">
        <v>7</v>
      </c>
      <c r="D32" s="139"/>
      <c r="E32" s="136"/>
      <c r="I32" s="136"/>
    </row>
    <row r="33" ht="3" customHeight="1" spans="1:9">
      <c r="A33" s="136"/>
      <c r="B33" s="136"/>
      <c r="C33" s="136"/>
      <c r="D33" s="136"/>
      <c r="E33" s="136"/>
      <c r="I33" s="136"/>
    </row>
    <row r="34" ht="14.25" spans="1:9">
      <c r="A34" s="136"/>
      <c r="B34" s="159" t="str">
        <f>IF((C31-MAX(D19:D20))&gt;=0,"倒角大小正常","倒角过大，找不到可用刀具")</f>
        <v>倒角大小正常</v>
      </c>
      <c r="C34" s="159"/>
      <c r="D34" s="159"/>
      <c r="E34" s="136"/>
      <c r="I34" s="136"/>
    </row>
    <row r="35" ht="14.25" spans="1:9">
      <c r="A35" s="136"/>
      <c r="B35" s="159" t="str">
        <f>IF(C27=0,"孔大小，请选择其它解决方案吧！","孔径正常")</f>
        <v>孔径正常</v>
      </c>
      <c r="C35" s="159"/>
      <c r="D35" s="159"/>
      <c r="E35" s="136"/>
      <c r="I35" s="136"/>
    </row>
    <row r="36" ht="3" customHeight="1" spans="1:9">
      <c r="A36" s="136"/>
      <c r="B36" s="136"/>
      <c r="C36" s="136"/>
      <c r="D36" s="136"/>
      <c r="E36" s="136"/>
      <c r="I36" s="136"/>
    </row>
    <row r="37" ht="14.25" spans="1:9">
      <c r="A37" s="136"/>
      <c r="B37" s="160" t="s">
        <v>82</v>
      </c>
      <c r="C37" s="136"/>
      <c r="D37" s="136"/>
      <c r="E37" s="136"/>
      <c r="F37" s="136"/>
      <c r="G37" s="136"/>
      <c r="H37" s="136"/>
      <c r="I37" s="136"/>
    </row>
    <row r="38" spans="1:9">
      <c r="A38" s="136"/>
      <c r="B38" s="151" t="s">
        <v>83</v>
      </c>
      <c r="C38" s="136"/>
      <c r="D38" s="136"/>
      <c r="E38" s="136"/>
      <c r="F38" s="136"/>
      <c r="G38" s="136"/>
      <c r="H38" s="136"/>
      <c r="I38" s="136"/>
    </row>
    <row r="39" spans="1:9">
      <c r="A39" s="136"/>
      <c r="B39" s="161" t="s">
        <v>12</v>
      </c>
      <c r="C39" s="161"/>
      <c r="D39" s="161"/>
      <c r="E39" s="161"/>
      <c r="F39" s="161"/>
      <c r="G39" s="161"/>
      <c r="H39" s="161"/>
      <c r="I39" s="136"/>
    </row>
    <row r="40" spans="1:9">
      <c r="A40" s="136"/>
      <c r="B40" s="161" t="str">
        <f>"M3 S"&amp;D23&amp;" G54 G43 H1 Z100；"</f>
        <v>M3 S5192 G54 G43 H1 Z100；</v>
      </c>
      <c r="C40" s="161"/>
      <c r="D40" s="161"/>
      <c r="E40" s="161"/>
      <c r="F40" s="161"/>
      <c r="G40" s="161"/>
      <c r="H40" s="161"/>
      <c r="I40" s="136"/>
    </row>
    <row r="41" ht="75" customHeight="1" spans="1:9">
      <c r="A41" s="136"/>
      <c r="B41" s="162" t="str">
        <f>"G66 P8100 Z-"&amp;$D$12+6&amp;" R"&amp;C30&amp;" W100 "&amp;"F"&amp;D24&amp;"；"</f>
        <v>G66 P8100 Z-23.25 R1.3 W100 F623；</v>
      </c>
      <c r="C41" s="162"/>
      <c r="D41" s="162"/>
      <c r="E41" s="162"/>
      <c r="F41" s="204" t="s">
        <v>84</v>
      </c>
      <c r="G41" s="204"/>
      <c r="H41" s="204"/>
      <c r="I41" s="136"/>
    </row>
    <row r="42" spans="1:9">
      <c r="A42" s="136"/>
      <c r="B42" s="161" t="s">
        <v>85</v>
      </c>
      <c r="C42" s="161"/>
      <c r="D42" s="161"/>
      <c r="E42" s="161"/>
      <c r="F42" s="161" t="s">
        <v>86</v>
      </c>
      <c r="G42" s="161"/>
      <c r="H42" s="161"/>
      <c r="I42" s="136"/>
    </row>
    <row r="43" spans="1:9">
      <c r="A43" s="136"/>
      <c r="B43" s="163" t="s">
        <v>87</v>
      </c>
      <c r="C43" s="161"/>
      <c r="D43" s="161"/>
      <c r="E43" s="161"/>
      <c r="F43" s="161" t="s">
        <v>21</v>
      </c>
      <c r="G43" s="161"/>
      <c r="H43" s="161"/>
      <c r="I43" s="136"/>
    </row>
    <row r="44" spans="1:9">
      <c r="A44" s="136"/>
      <c r="B44" s="163" t="s">
        <v>88</v>
      </c>
      <c r="C44" s="161"/>
      <c r="D44" s="161"/>
      <c r="E44" s="161"/>
      <c r="F44" s="161" t="s">
        <v>23</v>
      </c>
      <c r="G44" s="161"/>
      <c r="H44" s="161"/>
      <c r="I44" s="136"/>
    </row>
    <row r="45" spans="1:9">
      <c r="A45" s="136"/>
      <c r="B45" s="163" t="s">
        <v>89</v>
      </c>
      <c r="C45" s="161"/>
      <c r="D45" s="161"/>
      <c r="E45" s="161"/>
      <c r="F45" s="161" t="s">
        <v>25</v>
      </c>
      <c r="G45" s="161"/>
      <c r="H45" s="161"/>
      <c r="I45" s="136"/>
    </row>
    <row r="46" spans="1:9">
      <c r="A46" s="136"/>
      <c r="B46" s="161" t="s">
        <v>90</v>
      </c>
      <c r="C46" s="161"/>
      <c r="D46" s="161"/>
      <c r="E46" s="161"/>
      <c r="F46" s="161" t="s">
        <v>91</v>
      </c>
      <c r="G46" s="161"/>
      <c r="H46" s="161"/>
      <c r="I46" s="136"/>
    </row>
    <row r="47" spans="1:9">
      <c r="A47" s="136"/>
      <c r="B47" s="161" t="s">
        <v>92</v>
      </c>
      <c r="C47" s="161"/>
      <c r="D47" s="161"/>
      <c r="E47" s="161"/>
      <c r="F47" s="161" t="s">
        <v>31</v>
      </c>
      <c r="G47" s="161"/>
      <c r="H47" s="161"/>
      <c r="I47" s="136"/>
    </row>
    <row r="48" spans="1:9">
      <c r="A48" s="136"/>
      <c r="B48" s="161" t="s">
        <v>32</v>
      </c>
      <c r="C48" s="161"/>
      <c r="D48" s="161"/>
      <c r="E48" s="161"/>
      <c r="F48" s="164"/>
      <c r="G48" s="164"/>
      <c r="H48" s="164"/>
      <c r="I48" s="136"/>
    </row>
    <row r="52" customFormat="1" ht="14.25" spans="1:9">
      <c r="A52" s="136"/>
      <c r="B52" s="160" t="s">
        <v>93</v>
      </c>
      <c r="C52" s="136"/>
      <c r="D52" s="136"/>
      <c r="E52" s="136"/>
      <c r="F52" s="136"/>
      <c r="G52" s="136"/>
      <c r="H52" s="136"/>
      <c r="I52" s="136"/>
    </row>
    <row r="53" s="168" customFormat="1" spans="1:16384">
      <c r="A53" s="136"/>
      <c r="B53" s="136"/>
      <c r="C53" s="136"/>
      <c r="D53" s="136"/>
      <c r="E53" s="136"/>
      <c r="F53" s="136"/>
      <c r="G53" s="136"/>
      <c r="H53" s="136"/>
      <c r="I53" s="136"/>
      <c r="XFA53"/>
      <c r="XFB53"/>
      <c r="XFC53"/>
      <c r="XFD53"/>
    </row>
    <row r="54" s="168" customFormat="1" spans="1:16384">
      <c r="A54" s="136"/>
      <c r="B54" s="136"/>
      <c r="C54" s="136"/>
      <c r="D54" s="136"/>
      <c r="E54" s="136"/>
      <c r="F54" s="136"/>
      <c r="G54" s="136"/>
      <c r="H54" s="136"/>
      <c r="I54" s="136"/>
      <c r="XFA54"/>
      <c r="XFB54"/>
      <c r="XFC54"/>
      <c r="XFD54"/>
    </row>
    <row r="55" s="168" customFormat="1" spans="1:16384">
      <c r="A55" s="136"/>
      <c r="B55" s="136"/>
      <c r="C55" s="136"/>
      <c r="D55" s="136"/>
      <c r="E55" s="136"/>
      <c r="F55" s="136"/>
      <c r="G55" s="136"/>
      <c r="H55" s="136"/>
      <c r="I55" s="136"/>
      <c r="XFA55"/>
      <c r="XFB55"/>
      <c r="XFC55"/>
      <c r="XFD55"/>
    </row>
    <row r="56" s="168" customFormat="1" spans="1:16384">
      <c r="A56" s="136"/>
      <c r="B56" s="136"/>
      <c r="C56" s="136"/>
      <c r="D56" s="136"/>
      <c r="E56" s="136"/>
      <c r="F56" s="136"/>
      <c r="G56" s="136"/>
      <c r="H56" s="136"/>
      <c r="I56" s="136"/>
      <c r="XFA56"/>
      <c r="XFB56"/>
      <c r="XFC56"/>
      <c r="XFD56"/>
    </row>
    <row r="57" s="168" customFormat="1" spans="1:16384">
      <c r="A57" s="136"/>
      <c r="B57" s="136"/>
      <c r="C57" s="136"/>
      <c r="D57" s="136"/>
      <c r="E57" s="136"/>
      <c r="F57" s="136"/>
      <c r="G57" s="136"/>
      <c r="H57" s="136"/>
      <c r="I57" s="136"/>
      <c r="XFA57"/>
      <c r="XFB57"/>
      <c r="XFC57"/>
      <c r="XFD57"/>
    </row>
    <row r="58" s="168" customFormat="1" spans="1:16384">
      <c r="A58" s="136"/>
      <c r="B58" s="136"/>
      <c r="C58" s="136"/>
      <c r="D58" s="136"/>
      <c r="E58" s="136"/>
      <c r="F58" s="136"/>
      <c r="G58" s="136"/>
      <c r="H58" s="136"/>
      <c r="I58" s="136"/>
      <c r="XFA58"/>
      <c r="XFB58"/>
      <c r="XFC58"/>
      <c r="XFD58"/>
    </row>
    <row r="59" s="168" customFormat="1" spans="1:16384">
      <c r="A59" s="136"/>
      <c r="B59" s="136"/>
      <c r="C59" s="136"/>
      <c r="D59" s="136"/>
      <c r="E59" s="136"/>
      <c r="F59" s="136"/>
      <c r="G59" s="136"/>
      <c r="H59" s="136"/>
      <c r="I59" s="136"/>
      <c r="XFA59"/>
      <c r="XFB59"/>
      <c r="XFC59"/>
      <c r="XFD59"/>
    </row>
    <row r="60" s="168" customFormat="1" spans="1:16384">
      <c r="A60" s="136"/>
      <c r="B60" s="136"/>
      <c r="C60" s="136"/>
      <c r="D60" s="136"/>
      <c r="E60" s="136"/>
      <c r="F60" s="136"/>
      <c r="G60" s="136"/>
      <c r="H60" s="136"/>
      <c r="I60" s="136"/>
      <c r="XFA60"/>
      <c r="XFB60"/>
      <c r="XFC60"/>
      <c r="XFD60"/>
    </row>
    <row r="61" s="168" customFormat="1" spans="1:16384">
      <c r="A61" s="136"/>
      <c r="B61" s="136"/>
      <c r="C61" s="136"/>
      <c r="D61" s="136"/>
      <c r="E61" s="136"/>
      <c r="F61" s="136"/>
      <c r="G61" s="136"/>
      <c r="H61" s="136"/>
      <c r="I61" s="136"/>
      <c r="XFA61"/>
      <c r="XFB61"/>
      <c r="XFC61"/>
      <c r="XFD61"/>
    </row>
    <row r="62" s="168" customFormat="1" spans="1:16384">
      <c r="A62" s="136"/>
      <c r="B62" s="136"/>
      <c r="C62" s="136"/>
      <c r="D62" s="136"/>
      <c r="E62" s="136"/>
      <c r="F62" s="136"/>
      <c r="G62" s="136"/>
      <c r="H62" s="136"/>
      <c r="I62" s="136"/>
      <c r="XFA62"/>
      <c r="XFB62"/>
      <c r="XFC62"/>
      <c r="XFD62"/>
    </row>
    <row r="63" s="168" customFormat="1" spans="1:16384">
      <c r="A63" s="136"/>
      <c r="B63" s="136"/>
      <c r="C63" s="136"/>
      <c r="D63" s="136"/>
      <c r="E63" s="136"/>
      <c r="F63" s="136"/>
      <c r="G63" s="136"/>
      <c r="H63" s="136"/>
      <c r="I63" s="136"/>
      <c r="XFA63"/>
      <c r="XFB63"/>
      <c r="XFC63"/>
      <c r="XFD63"/>
    </row>
    <row r="64" s="168" customFormat="1" spans="1:16384">
      <c r="A64" s="136"/>
      <c r="B64" s="147" t="s">
        <v>94</v>
      </c>
      <c r="C64" s="136"/>
      <c r="D64" s="136"/>
      <c r="E64" s="136"/>
      <c r="F64" s="136"/>
      <c r="G64" s="136"/>
      <c r="H64" s="136"/>
      <c r="I64" s="136"/>
      <c r="XFA64"/>
      <c r="XFB64"/>
      <c r="XFC64"/>
      <c r="XFD64"/>
    </row>
    <row r="65" spans="1:9">
      <c r="A65" s="136"/>
      <c r="B65" s="136"/>
      <c r="C65" s="136"/>
      <c r="D65" s="136"/>
      <c r="E65" s="136"/>
      <c r="F65" s="136"/>
      <c r="G65" s="136"/>
      <c r="H65" s="136"/>
      <c r="I65" s="136"/>
    </row>
    <row r="66" spans="1:9">
      <c r="A66" s="136"/>
      <c r="B66" s="199" t="s">
        <v>95</v>
      </c>
      <c r="C66" s="167"/>
      <c r="D66" s="167"/>
      <c r="E66" s="136"/>
      <c r="F66" s="136"/>
      <c r="G66" s="136"/>
      <c r="H66" s="136"/>
      <c r="I66" s="136"/>
    </row>
    <row r="67" spans="1:9">
      <c r="A67" s="136"/>
      <c r="B67" s="200" t="s">
        <v>96</v>
      </c>
      <c r="C67" s="200" t="s">
        <v>97</v>
      </c>
      <c r="D67" s="200" t="s">
        <v>98</v>
      </c>
      <c r="E67" s="136"/>
      <c r="F67" s="136"/>
      <c r="G67" s="136"/>
      <c r="H67" s="136"/>
      <c r="I67" s="136"/>
    </row>
    <row r="68" spans="1:9">
      <c r="A68" s="136"/>
      <c r="B68" s="201" t="s">
        <v>99</v>
      </c>
      <c r="C68" s="200" t="s">
        <v>100</v>
      </c>
      <c r="D68" s="200" t="s">
        <v>101</v>
      </c>
      <c r="E68" s="136"/>
      <c r="F68" s="136"/>
      <c r="G68" s="136"/>
      <c r="H68" s="136"/>
      <c r="I68" s="136"/>
    </row>
    <row r="69" spans="1:9">
      <c r="A69" s="136"/>
      <c r="B69" s="201" t="s">
        <v>102</v>
      </c>
      <c r="C69" s="200" t="s">
        <v>103</v>
      </c>
      <c r="D69" s="200" t="s">
        <v>104</v>
      </c>
      <c r="E69" s="136"/>
      <c r="F69" s="136"/>
      <c r="G69" s="136"/>
      <c r="H69" s="136"/>
      <c r="I69" s="136"/>
    </row>
    <row r="70" spans="1:9">
      <c r="A70" s="136"/>
      <c r="B70" s="205"/>
      <c r="C70" s="206"/>
      <c r="D70" s="206"/>
      <c r="E70" s="136"/>
      <c r="F70" s="136"/>
      <c r="G70" s="136"/>
      <c r="H70" s="136"/>
      <c r="I70" s="136"/>
    </row>
  </sheetData>
  <sheetProtection password="BF12" sheet="1" selectLockedCells="1" objects="1"/>
  <mergeCells count="37">
    <mergeCell ref="B1:D1"/>
    <mergeCell ref="B2:D2"/>
    <mergeCell ref="G6:H6"/>
    <mergeCell ref="F10:H10"/>
    <mergeCell ref="B19:C19"/>
    <mergeCell ref="B20:C20"/>
    <mergeCell ref="B21:C21"/>
    <mergeCell ref="B22:C22"/>
    <mergeCell ref="B23:C23"/>
    <mergeCell ref="B24:C24"/>
    <mergeCell ref="C29:D29"/>
    <mergeCell ref="C30:D30"/>
    <mergeCell ref="C31:D31"/>
    <mergeCell ref="C32:D32"/>
    <mergeCell ref="B34:D34"/>
    <mergeCell ref="B35:D35"/>
    <mergeCell ref="B39:E39"/>
    <mergeCell ref="F39:H39"/>
    <mergeCell ref="B40:E40"/>
    <mergeCell ref="F40:H40"/>
    <mergeCell ref="B41:E41"/>
    <mergeCell ref="F41:H41"/>
    <mergeCell ref="B42:E42"/>
    <mergeCell ref="F42:H42"/>
    <mergeCell ref="B43:E43"/>
    <mergeCell ref="F43:H43"/>
    <mergeCell ref="B44:E44"/>
    <mergeCell ref="F44:H44"/>
    <mergeCell ref="B45:E45"/>
    <mergeCell ref="F45:H45"/>
    <mergeCell ref="B46:E46"/>
    <mergeCell ref="F46:H46"/>
    <mergeCell ref="B47:E47"/>
    <mergeCell ref="F47:H47"/>
    <mergeCell ref="B48:E48"/>
    <mergeCell ref="F48:H48"/>
    <mergeCell ref="G2:H5"/>
  </mergeCells>
  <conditionalFormatting sqref="B34:D34">
    <cfRule type="cellIs" dxfId="0" priority="1" operator="equal">
      <formula>"倒角过大，找不到可用刀具"</formula>
    </cfRule>
    <cfRule type="cellIs" dxfId="0" priority="3" operator="equal">
      <formula>"倒角过大，找不到可用刀具"</formula>
    </cfRule>
  </conditionalFormatting>
  <conditionalFormatting sqref="B35:D35">
    <cfRule type="cellIs" dxfId="0" priority="2" operator="equal">
      <formula>"孔大小，请选择其它解决方案吧！"</formula>
    </cfRule>
    <cfRule type="cellIs" dxfId="0" priority="4" operator="lessThan">
      <formula>0</formula>
    </cfRule>
  </conditionalFormatting>
  <printOptions horizontalCentered="1"/>
  <pageMargins left="0.393055555555556" right="0.393055555555556" top="0.786805555555556" bottom="0.786805555555556" header="0.55" footer="0.55"/>
  <pageSetup paperSize="9" scale="105" orientation="portrait" horizontalDpi="600"/>
  <headerFooter>
    <oddHeader>&amp;RD倒角</oddHeader>
    <oddFooter>&amp;C&amp;B&amp;KFF0000RAJACNCTOOLS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75"/>
  <sheetViews>
    <sheetView zoomScale="115" zoomScaleNormal="115" workbookViewId="0">
      <selection activeCell="D11" sqref="D11:D16"/>
    </sheetView>
  </sheetViews>
  <sheetFormatPr defaultColWidth="9" defaultRowHeight="13.5"/>
  <cols>
    <col min="1" max="1" width="2.58333333333333" style="168" customWidth="1"/>
    <col min="2" max="2" width="21.3833333333333" style="168" customWidth="1"/>
    <col min="3" max="4" width="7.725" style="168" customWidth="1"/>
    <col min="5" max="5" width="4.14166666666667" style="168" customWidth="1"/>
    <col min="6" max="6" width="6.375" style="168" customWidth="1"/>
    <col min="7" max="7" width="7.375" style="168" customWidth="1"/>
    <col min="8" max="8" width="19.375" style="168" customWidth="1"/>
    <col min="9" max="9" width="2.40833333333333" style="168" customWidth="1"/>
    <col min="10" max="10" width="9" style="168"/>
    <col min="11" max="11" width="22.1083333333333" style="168" customWidth="1"/>
    <col min="12" max="16380" width="9" style="168"/>
  </cols>
  <sheetData>
    <row r="1" ht="18.75" spans="1:9">
      <c r="A1" s="136"/>
      <c r="B1" s="137" t="s">
        <v>105</v>
      </c>
      <c r="C1" s="137"/>
      <c r="D1" s="137"/>
      <c r="E1" s="136"/>
      <c r="F1" s="136"/>
      <c r="G1" s="136"/>
      <c r="H1" s="136"/>
      <c r="I1" s="136"/>
    </row>
    <row r="2" spans="1:9">
      <c r="A2" s="136"/>
      <c r="B2" s="136"/>
      <c r="C2" s="136"/>
      <c r="D2" s="136"/>
      <c r="E2" s="138"/>
      <c r="G2" s="169" t="s">
        <v>36</v>
      </c>
      <c r="H2" s="170"/>
      <c r="I2" s="136"/>
    </row>
    <row r="3" spans="1:9">
      <c r="A3" s="136"/>
      <c r="B3" s="136"/>
      <c r="C3" s="136"/>
      <c r="D3" s="136"/>
      <c r="E3" s="138"/>
      <c r="G3" s="170"/>
      <c r="H3" s="170"/>
      <c r="I3" s="136"/>
    </row>
    <row r="4" spans="1:9">
      <c r="A4" s="136"/>
      <c r="B4" s="136"/>
      <c r="C4" s="136"/>
      <c r="D4" s="136"/>
      <c r="E4" s="138"/>
      <c r="G4" s="170"/>
      <c r="H4" s="170"/>
      <c r="I4" s="136"/>
    </row>
    <row r="5" spans="1:9">
      <c r="A5" s="136"/>
      <c r="B5" s="136"/>
      <c r="C5" s="136"/>
      <c r="D5" s="136"/>
      <c r="E5" s="138"/>
      <c r="G5" s="170"/>
      <c r="H5" s="170"/>
      <c r="I5" s="136"/>
    </row>
    <row r="6" spans="1:9">
      <c r="A6" s="136"/>
      <c r="B6" s="136"/>
      <c r="C6" s="136"/>
      <c r="D6" s="136"/>
      <c r="E6" s="138"/>
      <c r="G6" s="171" t="s">
        <v>34</v>
      </c>
      <c r="H6" s="171"/>
      <c r="I6" s="136"/>
    </row>
    <row r="7" spans="1:9">
      <c r="A7" s="136"/>
      <c r="B7" s="136"/>
      <c r="C7" s="136"/>
      <c r="D7" s="136"/>
      <c r="E7" s="138"/>
      <c r="I7" s="136"/>
    </row>
    <row r="8" spans="1:9">
      <c r="A8" s="136"/>
      <c r="B8" s="136"/>
      <c r="C8" s="136"/>
      <c r="D8" s="136"/>
      <c r="E8" s="138"/>
      <c r="I8" s="136"/>
    </row>
    <row r="9" spans="1:9">
      <c r="A9" s="136"/>
      <c r="B9" s="136"/>
      <c r="C9" s="136"/>
      <c r="D9" s="136"/>
      <c r="E9" s="136"/>
      <c r="F9" s="139" t="s">
        <v>40</v>
      </c>
      <c r="G9" s="139"/>
      <c r="H9" s="139"/>
      <c r="I9" s="136"/>
    </row>
    <row r="10" ht="14.25" spans="1:9">
      <c r="A10" s="136"/>
      <c r="B10" s="140" t="s">
        <v>37</v>
      </c>
      <c r="C10" s="140" t="s">
        <v>38</v>
      </c>
      <c r="D10" s="140" t="s">
        <v>39</v>
      </c>
      <c r="E10" s="136"/>
      <c r="F10" s="139" t="s">
        <v>43</v>
      </c>
      <c r="G10" s="139" t="s">
        <v>44</v>
      </c>
      <c r="H10" s="139" t="s">
        <v>10</v>
      </c>
      <c r="I10" s="136"/>
    </row>
    <row r="11" spans="1:9">
      <c r="A11" s="136"/>
      <c r="B11" s="141" t="s">
        <v>41</v>
      </c>
      <c r="C11" s="141" t="s">
        <v>42</v>
      </c>
      <c r="D11" s="142">
        <v>10.6</v>
      </c>
      <c r="E11" s="136"/>
      <c r="F11" s="139">
        <v>24000</v>
      </c>
      <c r="G11" s="143">
        <f>100/F11*60+0.1</f>
        <v>0.35</v>
      </c>
      <c r="H11" s="144" t="s">
        <v>47</v>
      </c>
      <c r="I11" s="136"/>
    </row>
    <row r="12" spans="1:9">
      <c r="A12" s="136"/>
      <c r="B12" s="139" t="s">
        <v>45</v>
      </c>
      <c r="C12" s="139" t="s">
        <v>46</v>
      </c>
      <c r="D12" s="145">
        <v>12.9</v>
      </c>
      <c r="E12" s="136"/>
      <c r="F12" s="139">
        <v>24000</v>
      </c>
      <c r="G12" s="143">
        <f>18/F12*60+0.1</f>
        <v>0.145</v>
      </c>
      <c r="H12" s="144" t="s">
        <v>50</v>
      </c>
      <c r="I12" s="136"/>
    </row>
    <row r="13" spans="1:9">
      <c r="A13" s="136"/>
      <c r="B13" s="139" t="s">
        <v>48</v>
      </c>
      <c r="C13" s="139" t="s">
        <v>49</v>
      </c>
      <c r="D13" s="145">
        <v>1</v>
      </c>
      <c r="E13" s="136"/>
      <c r="F13" s="172">
        <f>D26</f>
        <v>540.75</v>
      </c>
      <c r="G13" s="143">
        <f>3/F13*60+0.1</f>
        <v>0.432871012482663</v>
      </c>
      <c r="H13" s="144" t="s">
        <v>106</v>
      </c>
      <c r="I13" s="136"/>
    </row>
    <row r="14" spans="1:9">
      <c r="A14" s="136"/>
      <c r="B14" s="141" t="s">
        <v>51</v>
      </c>
      <c r="C14" s="141" t="s">
        <v>52</v>
      </c>
      <c r="D14" s="142">
        <v>60</v>
      </c>
      <c r="E14" s="136"/>
      <c r="F14" s="139">
        <v>24000</v>
      </c>
      <c r="G14" s="143">
        <f>10/F14*60+0.1</f>
        <v>0.125</v>
      </c>
      <c r="H14" s="144" t="s">
        <v>107</v>
      </c>
      <c r="I14" s="136"/>
    </row>
    <row r="15" customHeight="1" spans="1:9">
      <c r="A15" s="136"/>
      <c r="B15" s="139" t="s">
        <v>54</v>
      </c>
      <c r="C15" s="139" t="s">
        <v>55</v>
      </c>
      <c r="D15" s="145">
        <v>1</v>
      </c>
      <c r="E15" s="136"/>
      <c r="F15" s="139">
        <f>INT(D24*0.7)</f>
        <v>348</v>
      </c>
      <c r="G15" s="143">
        <f>3.14*($C$33/2)/F15*60+0.1</f>
        <v>0.560172413793103</v>
      </c>
      <c r="H15" s="144" t="s">
        <v>56</v>
      </c>
      <c r="I15" s="136"/>
    </row>
    <row r="16" spans="1:9">
      <c r="A16" s="136"/>
      <c r="B16" s="141" t="s">
        <v>57</v>
      </c>
      <c r="C16" s="141" t="s">
        <v>58</v>
      </c>
      <c r="D16" s="142">
        <v>45</v>
      </c>
      <c r="E16" s="136"/>
      <c r="F16" s="139">
        <f>D24</f>
        <v>498</v>
      </c>
      <c r="G16" s="143">
        <f>3.14*($C$33)/F16*60+0.1</f>
        <v>0.743132530120482</v>
      </c>
      <c r="H16" s="144" t="s">
        <v>59</v>
      </c>
      <c r="I16" s="136"/>
    </row>
    <row r="17" spans="1:9">
      <c r="A17" s="136"/>
      <c r="B17" s="141" t="s">
        <v>60</v>
      </c>
      <c r="C17" s="141" t="s">
        <v>61</v>
      </c>
      <c r="D17" s="146">
        <f>2*TAN(RADIANS(D14))*D13+$D$11</f>
        <v>14.0641016151378</v>
      </c>
      <c r="E17" s="136"/>
      <c r="F17" s="139">
        <f>D24*4</f>
        <v>1992</v>
      </c>
      <c r="G17" s="143">
        <f>3.14*($C$33/2)/F17*60+0.1</f>
        <v>0.18039156626506</v>
      </c>
      <c r="H17" s="144" t="s">
        <v>62</v>
      </c>
      <c r="I17" s="136"/>
    </row>
    <row r="18" spans="1:9">
      <c r="A18" s="136"/>
      <c r="B18" s="139" t="s">
        <v>63</v>
      </c>
      <c r="C18" s="139" t="s">
        <v>64</v>
      </c>
      <c r="D18" s="146">
        <f>2*TAN(RADIANS(D16))*D15+$D$11</f>
        <v>12.6</v>
      </c>
      <c r="E18" s="136"/>
      <c r="F18" s="139">
        <v>24000</v>
      </c>
      <c r="G18" s="143">
        <f>118/F18*60+0.1</f>
        <v>0.395</v>
      </c>
      <c r="H18" s="144" t="s">
        <v>65</v>
      </c>
      <c r="I18" s="136"/>
    </row>
    <row r="19" spans="1:9">
      <c r="A19" s="136"/>
      <c r="B19" s="139" t="s">
        <v>66</v>
      </c>
      <c r="C19" s="139"/>
      <c r="D19" s="146">
        <f>(D17-D11)/2</f>
        <v>1.73205080756888</v>
      </c>
      <c r="E19" s="136"/>
      <c r="F19" s="139">
        <v>24000</v>
      </c>
      <c r="G19" s="143">
        <f>300/F19*60+0.1</f>
        <v>0.85</v>
      </c>
      <c r="H19" s="144" t="s">
        <v>67</v>
      </c>
      <c r="I19" s="136"/>
    </row>
    <row r="20" spans="1:9">
      <c r="A20" s="136"/>
      <c r="B20" s="139" t="s">
        <v>68</v>
      </c>
      <c r="C20" s="139"/>
      <c r="D20" s="146">
        <f>(D18-D11)/2</f>
        <v>1</v>
      </c>
      <c r="E20" s="136"/>
      <c r="F20" s="139" t="s">
        <v>69</v>
      </c>
      <c r="G20" s="143">
        <f>SUM(G10:G19)</f>
        <v>3.78156752266131</v>
      </c>
      <c r="H20" s="144" t="s">
        <v>70</v>
      </c>
      <c r="I20" s="136"/>
    </row>
    <row r="21" spans="1:9">
      <c r="A21" s="136"/>
      <c r="B21" s="139" t="s">
        <v>71</v>
      </c>
      <c r="C21" s="139"/>
      <c r="D21" s="146">
        <f>D20/TAN(RADIANS(D14))</f>
        <v>0.577350269189626</v>
      </c>
      <c r="E21" s="136"/>
      <c r="F21" s="147" t="s">
        <v>72</v>
      </c>
      <c r="G21" s="136"/>
      <c r="H21" s="136"/>
      <c r="I21" s="136"/>
    </row>
    <row r="22" spans="1:9">
      <c r="A22" s="136"/>
      <c r="B22" s="139" t="s">
        <v>73</v>
      </c>
      <c r="C22" s="139"/>
      <c r="D22" s="142">
        <v>120</v>
      </c>
      <c r="E22" s="136"/>
      <c r="F22" s="136"/>
      <c r="G22" s="136"/>
      <c r="H22" s="136"/>
      <c r="I22" s="136"/>
    </row>
    <row r="23" spans="1:9">
      <c r="A23" s="136"/>
      <c r="B23" s="139" t="s">
        <v>108</v>
      </c>
      <c r="C23" s="139"/>
      <c r="D23" s="149">
        <f>INT(1000*D22/(3.14*C32))</f>
        <v>4153</v>
      </c>
      <c r="E23" s="136"/>
      <c r="F23" s="136"/>
      <c r="G23" s="136"/>
      <c r="H23" s="136"/>
      <c r="I23" s="136"/>
    </row>
    <row r="24" spans="1:9">
      <c r="A24" s="136"/>
      <c r="B24" s="139" t="s">
        <v>109</v>
      </c>
      <c r="C24" s="139"/>
      <c r="D24" s="149">
        <f>INT(D23*F24)</f>
        <v>498</v>
      </c>
      <c r="E24" s="136"/>
      <c r="F24" s="150">
        <f>IF(C30&gt;=140,0.16,IF(C30&gt;=120,0.15,IF(C30&gt;=100,0.12,IF(C30&gt;=85,0.1,0))))</f>
        <v>0.12</v>
      </c>
      <c r="G24" s="136"/>
      <c r="H24" s="136"/>
      <c r="I24" s="136"/>
    </row>
    <row r="25" spans="1:9">
      <c r="A25" s="136"/>
      <c r="B25" s="139" t="s">
        <v>110</v>
      </c>
      <c r="C25" s="173">
        <f>ROUND(D25/D23,1)</f>
        <v>0.9</v>
      </c>
      <c r="D25" s="149">
        <f>INT(1000*D22/(3.14*D11))</f>
        <v>3605</v>
      </c>
      <c r="E25" s="136"/>
      <c r="F25" s="150"/>
      <c r="G25" s="136"/>
      <c r="H25" s="136"/>
      <c r="I25" s="136"/>
    </row>
    <row r="26" spans="1:9">
      <c r="A26" s="136"/>
      <c r="B26" s="139" t="s">
        <v>111</v>
      </c>
      <c r="C26" s="173">
        <f>ROUND(D26/D24,1)</f>
        <v>1.1</v>
      </c>
      <c r="D26" s="149">
        <f>IF(VLOOKUP(C30,F34:H37,MATCH(D14,F33:H33,1),0)&gt;=18,D25*0.3,D25*0.15)</f>
        <v>540.75</v>
      </c>
      <c r="E26" s="174" t="s">
        <v>112</v>
      </c>
      <c r="F26" s="150"/>
      <c r="G26" s="136"/>
      <c r="H26" s="136"/>
      <c r="I26" s="136"/>
    </row>
    <row r="27" ht="3" customHeight="1" spans="1:9">
      <c r="A27" s="136"/>
      <c r="B27" s="136"/>
      <c r="C27" s="136"/>
      <c r="D27" s="136"/>
      <c r="E27" s="136"/>
      <c r="F27" s="136"/>
      <c r="G27" s="136"/>
      <c r="H27" s="136"/>
      <c r="I27" s="136"/>
    </row>
    <row r="28" spans="1:9">
      <c r="A28" s="136"/>
      <c r="B28" s="151" t="s">
        <v>76</v>
      </c>
      <c r="C28" s="136"/>
      <c r="D28" s="136"/>
      <c r="E28" s="136"/>
      <c r="F28" s="136"/>
      <c r="G28" s="136"/>
      <c r="H28" s="136"/>
      <c r="I28" s="136"/>
    </row>
    <row r="29" spans="1:9">
      <c r="A29" s="136"/>
      <c r="B29" s="152" t="str">
        <f>"自动选择：RDG"&amp;D14&amp;"."&amp;D16&amp;"-"</f>
        <v>自动选择：RDG60.45-</v>
      </c>
      <c r="C29" s="175">
        <f>IF(D11&gt;18,"孔太大",IF(D11&gt;=14,140,IF(D11&gt;=12,120,IF(D11&gt;=10,100,IF(D11&gt;=8.6,85,"孔太小")))))</f>
        <v>100</v>
      </c>
      <c r="D29" s="176" t="str">
        <f>"A"&amp;VLOOKUP(C30,F34:H37,MATCH(D14,F33:H33,1),0)&amp;IF("A"&amp;VLOOKUP(C30,F34:H37,MATCH(D14,F33:H33,1),0)&lt;18,"H","K")&amp;"-"</f>
        <v>A16K-</v>
      </c>
      <c r="E29" s="177">
        <f>IF(D12&gt;16.2,200,IF(D12&gt;5.2,160,0))</f>
        <v>160</v>
      </c>
      <c r="F29" t="str">
        <f>IF(C29="孔太大","孔太大，可选RDC类刀具",IF(C29="孔太小","孔太小，可选DBXA刀具",""))</f>
        <v/>
      </c>
      <c r="G29"/>
      <c r="H29"/>
      <c r="I29" s="136"/>
    </row>
    <row r="30" ht="17" customHeight="1" spans="1:9">
      <c r="A30" s="136"/>
      <c r="B30" s="178" t="str">
        <f>"手动更改：RDG"&amp;D14&amp;"."&amp;D16&amp;"-"</f>
        <v>手动更改：RDG60.45-</v>
      </c>
      <c r="C30" s="179">
        <v>100</v>
      </c>
      <c r="D30" s="180" t="str">
        <f>"A"&amp;VLOOKUP(C30,F34:H37,MATCH(D14,F33:H33,1),0)&amp;IF("A"&amp;VLOOKUP(C30,F34:H37,MATCH(D14,F33:H33,1),0)&lt;18,"H","K")&amp;"-"</f>
        <v>A16K-</v>
      </c>
      <c r="E30" s="181">
        <v>100</v>
      </c>
      <c r="F30" s="136"/>
      <c r="G30" s="136"/>
      <c r="H30" s="136"/>
      <c r="I30" s="136"/>
    </row>
    <row r="31" ht="3" customHeight="1" spans="1:9">
      <c r="A31" s="136"/>
      <c r="B31" s="136"/>
      <c r="C31" s="136"/>
      <c r="D31" s="136"/>
      <c r="E31" s="136"/>
      <c r="I31" s="136"/>
    </row>
    <row r="32" spans="1:8">
      <c r="A32" s="136"/>
      <c r="B32" s="139" t="s">
        <v>78</v>
      </c>
      <c r="C32" s="139">
        <f>IF(C30=85,7.8,IF(C30=100,9.2,IF(C30=110,10.2,IF(C30=120,11.2,IF(C30=130,12,IF(C30=140,13,IF(C30=150,14,0)))))))</f>
        <v>9.2</v>
      </c>
      <c r="D32" s="139"/>
      <c r="E32" s="136"/>
      <c r="F32" s="182" t="s">
        <v>113</v>
      </c>
      <c r="G32" s="183" t="s">
        <v>114</v>
      </c>
      <c r="H32" s="184"/>
    </row>
    <row r="33" spans="1:8">
      <c r="A33" s="136"/>
      <c r="B33" s="139" t="s">
        <v>79</v>
      </c>
      <c r="C33" s="157">
        <f>ROUND((IF(C32=0,0,(D18-C32)/2)),2)</f>
        <v>1.7</v>
      </c>
      <c r="D33" s="157"/>
      <c r="E33" s="136"/>
      <c r="F33" s="185"/>
      <c r="G33" s="186">
        <v>30</v>
      </c>
      <c r="H33" s="187">
        <v>45</v>
      </c>
    </row>
    <row r="34" spans="1:8">
      <c r="A34" s="136"/>
      <c r="B34" s="139" t="s">
        <v>80</v>
      </c>
      <c r="C34" s="139">
        <f>IF(C30=85,1,IF(C30=100,1.5,IF(C30=110,1.5,IF(C30=120,1.6,IF(C30=130,1.8,IF(C30=140,1.9,IF(C30=150,2,0)))))))</f>
        <v>1.5</v>
      </c>
      <c r="D34" s="139"/>
      <c r="E34" s="136"/>
      <c r="F34" s="188">
        <v>85</v>
      </c>
      <c r="G34" s="186">
        <v>16</v>
      </c>
      <c r="H34" s="187">
        <v>16</v>
      </c>
    </row>
    <row r="35" spans="1:8">
      <c r="A35" s="136"/>
      <c r="B35" s="139" t="s">
        <v>81</v>
      </c>
      <c r="C35" s="139">
        <f>C37+D12-1</f>
        <v>-5.5</v>
      </c>
      <c r="D35" s="139"/>
      <c r="E35" s="136"/>
      <c r="F35" s="188">
        <v>100</v>
      </c>
      <c r="G35" s="186">
        <v>16</v>
      </c>
      <c r="H35" s="187">
        <v>16</v>
      </c>
    </row>
    <row r="36" spans="1:8">
      <c r="A36" s="136"/>
      <c r="B36" s="139" t="s">
        <v>115</v>
      </c>
      <c r="C36" s="139">
        <f>-($D$12+6)</f>
        <v>-18.9</v>
      </c>
      <c r="D36" s="139"/>
      <c r="E36" s="136"/>
      <c r="F36" s="188">
        <v>120</v>
      </c>
      <c r="G36" s="186">
        <v>16</v>
      </c>
      <c r="H36" s="187">
        <v>18</v>
      </c>
    </row>
    <row r="37" spans="1:8">
      <c r="A37" s="136"/>
      <c r="B37" s="139" t="s">
        <v>116</v>
      </c>
      <c r="C37" s="139">
        <f>-ROUND(($E$30/10+6+$D$13+(D11-C32)/2/TAN(RADIANS(D14))),2)</f>
        <v>-17.4</v>
      </c>
      <c r="D37" s="139"/>
      <c r="E37" s="136"/>
      <c r="F37" s="189">
        <v>140</v>
      </c>
      <c r="G37" s="190">
        <v>18</v>
      </c>
      <c r="H37" s="191">
        <v>20</v>
      </c>
    </row>
    <row r="38" ht="3" customHeight="1" spans="1:9">
      <c r="A38" s="136"/>
      <c r="B38" s="136"/>
      <c r="C38" s="136"/>
      <c r="D38" s="136"/>
      <c r="E38" s="136"/>
      <c r="F38" s="136"/>
      <c r="G38" s="136"/>
      <c r="H38" s="136"/>
      <c r="I38" s="136"/>
    </row>
    <row r="39" ht="14.25" spans="1:9">
      <c r="A39" s="136"/>
      <c r="B39" s="192" t="str">
        <f>IF((C34-MAX(D19:D20))&gt;=0,"倒角大小正常","倒角过大，找不到可用刀具")</f>
        <v>倒角过大，找不到可用刀具</v>
      </c>
      <c r="C39" s="192"/>
      <c r="D39" s="192"/>
      <c r="E39" s="136"/>
      <c r="F39" s="136"/>
      <c r="G39" s="136"/>
      <c r="H39" s="136"/>
      <c r="I39" s="136"/>
    </row>
    <row r="40" ht="14.25" spans="1:9">
      <c r="A40" s="136"/>
      <c r="B40" s="193" t="str">
        <f>IF(C29=0,"孔大小，请选择其它解决方案吧！","孔径正常")</f>
        <v>孔径正常</v>
      </c>
      <c r="C40" s="193"/>
      <c r="D40" s="193"/>
      <c r="E40" s="136"/>
      <c r="I40" s="136"/>
    </row>
    <row r="41" ht="14.25" spans="1:9">
      <c r="A41" s="136"/>
      <c r="B41" s="193" t="str">
        <f>IF((D11-(C30/10))&lt;0,"刀具直径大于孔径或间隙过小","选用的刀具直径合格")</f>
        <v>选用的刀具直径合格</v>
      </c>
      <c r="C41" s="193"/>
      <c r="D41" s="193"/>
      <c r="E41" s="136"/>
      <c r="I41" s="136"/>
    </row>
    <row r="42" ht="14.25" spans="1:9">
      <c r="A42" s="136"/>
      <c r="B42" s="193" t="str">
        <f>IF((E30/10-D12)&lt;=0.19999,"刀具长度小于工件厚度","选用的刀具长度合格")</f>
        <v>刀具长度小于工件厚度</v>
      </c>
      <c r="C42" s="193"/>
      <c r="D42" s="193"/>
      <c r="E42" s="136"/>
      <c r="I42" s="136"/>
    </row>
    <row r="43" ht="3" customHeight="1" spans="1:9">
      <c r="A43" s="136"/>
      <c r="B43" s="136"/>
      <c r="C43" s="136"/>
      <c r="D43" s="136"/>
      <c r="E43" s="136"/>
      <c r="I43" s="136"/>
    </row>
    <row r="44" ht="14.25" spans="1:9">
      <c r="A44" s="136"/>
      <c r="B44" s="160" t="s">
        <v>8</v>
      </c>
      <c r="C44" s="136"/>
      <c r="D44" s="136"/>
      <c r="E44" s="136"/>
      <c r="F44" s="136"/>
      <c r="G44" s="136"/>
      <c r="H44" s="136"/>
      <c r="I44" s="136"/>
    </row>
    <row r="45" spans="1:9">
      <c r="A45" s="136"/>
      <c r="B45" s="161" t="s">
        <v>12</v>
      </c>
      <c r="C45" s="161"/>
      <c r="D45" s="161"/>
      <c r="E45" s="161"/>
      <c r="F45" s="161"/>
      <c r="G45" s="161"/>
      <c r="H45" s="161"/>
      <c r="I45" s="136"/>
    </row>
    <row r="46" spans="1:9">
      <c r="A46" s="136"/>
      <c r="B46" s="161" t="str">
        <f>"M3 S"&amp;D23&amp;" G54 G43 H1 Z100；"</f>
        <v>M3 S4153 G54 G43 H1 Z100；</v>
      </c>
      <c r="C46" s="161"/>
      <c r="D46" s="161"/>
      <c r="E46" s="161"/>
      <c r="F46" s="161"/>
      <c r="G46" s="161"/>
      <c r="H46" s="161"/>
      <c r="I46" s="136"/>
    </row>
    <row r="47" ht="112" customHeight="1" spans="1:11">
      <c r="A47" s="136"/>
      <c r="B47" s="162" t="str">
        <f>"G66 P8120 Z"&amp;C36&amp;" R"&amp;C33&amp;" S"&amp;D23&amp;" F"&amp;D24&amp;" H"&amp;C37&amp;" I"&amp;C25&amp;" J"&amp;C26&amp;" W100 "&amp;"；"</f>
        <v>G66 P8120 Z-18.9 R1.7 S4153 F498 H-17.4 I0.9 J1.1 W100 ；</v>
      </c>
      <c r="C47" s="162"/>
      <c r="D47" s="162"/>
      <c r="E47" s="162"/>
      <c r="F47" s="194" t="s">
        <v>117</v>
      </c>
      <c r="G47" s="194"/>
      <c r="H47" s="194"/>
      <c r="I47" s="136"/>
      <c r="K47" s="195"/>
    </row>
    <row r="48" spans="1:11">
      <c r="A48" s="136"/>
      <c r="B48" s="161" t="s">
        <v>118</v>
      </c>
      <c r="C48" s="161"/>
      <c r="D48" s="161"/>
      <c r="E48" s="161"/>
      <c r="F48" s="161" t="s">
        <v>86</v>
      </c>
      <c r="G48" s="161"/>
      <c r="H48" s="161"/>
      <c r="I48" s="136"/>
      <c r="K48" s="195"/>
    </row>
    <row r="49" spans="1:11">
      <c r="A49" s="136"/>
      <c r="B49" s="163" t="s">
        <v>119</v>
      </c>
      <c r="C49" s="161"/>
      <c r="D49" s="161"/>
      <c r="E49" s="161"/>
      <c r="F49" s="161" t="s">
        <v>21</v>
      </c>
      <c r="G49" s="161"/>
      <c r="H49" s="161"/>
      <c r="I49" s="136"/>
      <c r="K49" s="196"/>
    </row>
    <row r="50" spans="1:11">
      <c r="A50" s="136"/>
      <c r="B50" s="163" t="s">
        <v>120</v>
      </c>
      <c r="C50" s="161"/>
      <c r="D50" s="161"/>
      <c r="E50" s="161"/>
      <c r="F50" s="161" t="s">
        <v>23</v>
      </c>
      <c r="G50" s="161"/>
      <c r="H50" s="161"/>
      <c r="I50" s="136"/>
      <c r="K50" s="196"/>
    </row>
    <row r="51" spans="1:11">
      <c r="A51" s="136"/>
      <c r="B51" s="163" t="s">
        <v>121</v>
      </c>
      <c r="C51" s="161"/>
      <c r="D51" s="161"/>
      <c r="E51" s="161"/>
      <c r="F51" s="161" t="s">
        <v>25</v>
      </c>
      <c r="G51" s="161"/>
      <c r="H51" s="161"/>
      <c r="I51" s="136"/>
      <c r="K51" s="197"/>
    </row>
    <row r="52" spans="1:9">
      <c r="A52" s="136"/>
      <c r="B52" s="161" t="s">
        <v>27</v>
      </c>
      <c r="C52" s="161"/>
      <c r="D52" s="161"/>
      <c r="E52" s="161"/>
      <c r="F52" s="161" t="s">
        <v>91</v>
      </c>
      <c r="G52" s="161"/>
      <c r="H52" s="161"/>
      <c r="I52" s="136"/>
    </row>
    <row r="53" spans="1:11">
      <c r="A53" s="136"/>
      <c r="B53" s="161" t="s">
        <v>30</v>
      </c>
      <c r="C53" s="161"/>
      <c r="D53" s="161"/>
      <c r="E53" s="161"/>
      <c r="F53" s="161" t="s">
        <v>31</v>
      </c>
      <c r="G53" s="161"/>
      <c r="H53" s="161"/>
      <c r="I53" s="136"/>
      <c r="K53" s="198"/>
    </row>
    <row r="54" spans="1:11">
      <c r="A54" s="136"/>
      <c r="B54" s="161" t="s">
        <v>32</v>
      </c>
      <c r="C54" s="161"/>
      <c r="D54" s="161"/>
      <c r="E54" s="161"/>
      <c r="F54" s="164"/>
      <c r="G54" s="164"/>
      <c r="H54" s="164"/>
      <c r="I54" s="136"/>
      <c r="K54" s="198"/>
    </row>
    <row r="58" customFormat="1" ht="14.25" spans="1:9">
      <c r="A58" s="136"/>
      <c r="B58" s="160" t="s">
        <v>122</v>
      </c>
      <c r="C58" s="136"/>
      <c r="D58" s="136"/>
      <c r="E58" s="136"/>
      <c r="F58" s="136"/>
      <c r="G58" s="136"/>
      <c r="H58" s="136"/>
      <c r="I58" s="136"/>
    </row>
    <row r="59" s="168" customFormat="1" spans="1:16384">
      <c r="A59" s="136"/>
      <c r="B59" s="136"/>
      <c r="C59" s="136"/>
      <c r="D59" s="136"/>
      <c r="E59" s="136"/>
      <c r="F59" s="136"/>
      <c r="G59" s="136"/>
      <c r="H59" s="136"/>
      <c r="I59" s="136"/>
      <c r="XFA59"/>
      <c r="XFB59"/>
      <c r="XFC59"/>
      <c r="XFD59"/>
    </row>
    <row r="60" s="168" customFormat="1" spans="1:16384">
      <c r="A60" s="136"/>
      <c r="B60" s="136"/>
      <c r="C60" s="136"/>
      <c r="D60" s="136"/>
      <c r="E60" s="136"/>
      <c r="F60" s="136"/>
      <c r="G60" s="136"/>
      <c r="H60" s="136"/>
      <c r="I60" s="136"/>
      <c r="XFA60"/>
      <c r="XFB60"/>
      <c r="XFC60"/>
      <c r="XFD60"/>
    </row>
    <row r="61" s="168" customFormat="1" spans="1:16384">
      <c r="A61" s="136"/>
      <c r="B61" s="136"/>
      <c r="C61" s="136"/>
      <c r="D61" s="136"/>
      <c r="E61" s="136"/>
      <c r="F61" s="136"/>
      <c r="G61" s="136"/>
      <c r="H61" s="136"/>
      <c r="I61" s="136"/>
      <c r="XFA61"/>
      <c r="XFB61"/>
      <c r="XFC61"/>
      <c r="XFD61"/>
    </row>
    <row r="62" s="168" customFormat="1" spans="1:16384">
      <c r="A62" s="136"/>
      <c r="B62" s="136"/>
      <c r="C62" s="136"/>
      <c r="D62" s="136"/>
      <c r="E62" s="136"/>
      <c r="F62" s="136"/>
      <c r="G62" s="136"/>
      <c r="H62" s="136"/>
      <c r="I62" s="136"/>
      <c r="XFA62"/>
      <c r="XFB62"/>
      <c r="XFC62"/>
      <c r="XFD62"/>
    </row>
    <row r="63" s="168" customFormat="1" spans="1:16384">
      <c r="A63" s="136"/>
      <c r="B63" s="136"/>
      <c r="C63" s="136"/>
      <c r="D63" s="136"/>
      <c r="E63" s="136"/>
      <c r="F63" s="136"/>
      <c r="G63" s="136"/>
      <c r="H63" s="136"/>
      <c r="I63" s="136"/>
      <c r="XFA63"/>
      <c r="XFB63"/>
      <c r="XFC63"/>
      <c r="XFD63"/>
    </row>
    <row r="64" s="168" customFormat="1" spans="1:16384">
      <c r="A64" s="136"/>
      <c r="B64" s="136"/>
      <c r="C64" s="136"/>
      <c r="D64" s="136"/>
      <c r="E64" s="136"/>
      <c r="F64" s="136"/>
      <c r="G64" s="136"/>
      <c r="H64" s="136"/>
      <c r="I64" s="136"/>
      <c r="XFA64"/>
      <c r="XFB64"/>
      <c r="XFC64"/>
      <c r="XFD64"/>
    </row>
    <row r="65" s="168" customFormat="1" spans="1:16384">
      <c r="A65" s="136"/>
      <c r="B65" s="136"/>
      <c r="C65" s="136"/>
      <c r="D65" s="136"/>
      <c r="E65" s="136"/>
      <c r="F65" s="136"/>
      <c r="G65" s="136"/>
      <c r="H65" s="136"/>
      <c r="I65" s="136"/>
      <c r="XFA65"/>
      <c r="XFB65"/>
      <c r="XFC65"/>
      <c r="XFD65"/>
    </row>
    <row r="66" s="168" customFormat="1" spans="1:16384">
      <c r="A66" s="136"/>
      <c r="B66" s="136"/>
      <c r="C66" s="136"/>
      <c r="D66" s="136"/>
      <c r="E66" s="136"/>
      <c r="F66" s="136"/>
      <c r="G66" s="136"/>
      <c r="H66" s="136"/>
      <c r="I66" s="136"/>
      <c r="XFA66"/>
      <c r="XFB66"/>
      <c r="XFC66"/>
      <c r="XFD66"/>
    </row>
    <row r="67" s="168" customFormat="1" spans="1:16384">
      <c r="A67" s="136"/>
      <c r="B67" s="136"/>
      <c r="C67" s="136"/>
      <c r="D67" s="136"/>
      <c r="E67" s="136"/>
      <c r="F67" s="136"/>
      <c r="G67" s="136"/>
      <c r="H67" s="136"/>
      <c r="I67" s="136"/>
      <c r="XFA67"/>
      <c r="XFB67"/>
      <c r="XFC67"/>
      <c r="XFD67"/>
    </row>
    <row r="68" s="168" customFormat="1" spans="1:16384">
      <c r="A68" s="136"/>
      <c r="B68" s="136"/>
      <c r="C68" s="136"/>
      <c r="D68" s="136"/>
      <c r="E68" s="136"/>
      <c r="F68" s="136"/>
      <c r="G68" s="136"/>
      <c r="H68" s="136"/>
      <c r="I68" s="136"/>
      <c r="XFA68"/>
      <c r="XFB68"/>
      <c r="XFC68"/>
      <c r="XFD68"/>
    </row>
    <row r="69" s="168" customFormat="1" spans="1:16384">
      <c r="A69" s="136"/>
      <c r="B69" s="136"/>
      <c r="C69" s="136"/>
      <c r="D69" s="136"/>
      <c r="E69" s="136"/>
      <c r="F69" s="136"/>
      <c r="G69" s="136"/>
      <c r="H69" s="136"/>
      <c r="I69" s="136"/>
      <c r="XFA69"/>
      <c r="XFB69"/>
      <c r="XFC69"/>
      <c r="XFD69"/>
    </row>
    <row r="70" s="168" customFormat="1" spans="1:16384">
      <c r="A70" s="136"/>
      <c r="B70" s="147" t="s">
        <v>94</v>
      </c>
      <c r="C70" s="136"/>
      <c r="D70" s="136"/>
      <c r="E70" s="136"/>
      <c r="F70" s="136"/>
      <c r="G70" s="136"/>
      <c r="H70" s="136"/>
      <c r="I70" s="136"/>
      <c r="XFA70"/>
      <c r="XFB70"/>
      <c r="XFC70"/>
      <c r="XFD70"/>
    </row>
    <row r="71" s="168" customFormat="1" spans="1:9">
      <c r="A71" s="136"/>
      <c r="B71" s="136"/>
      <c r="C71" s="136"/>
      <c r="D71" s="136"/>
      <c r="E71" s="136"/>
      <c r="F71" s="136"/>
      <c r="G71" s="136"/>
      <c r="H71" s="136"/>
      <c r="I71" s="136"/>
    </row>
    <row r="72" s="168" customFormat="1" spans="1:9">
      <c r="A72" s="136"/>
      <c r="B72" s="199" t="s">
        <v>95</v>
      </c>
      <c r="C72" s="167"/>
      <c r="D72" s="167"/>
      <c r="E72" s="136"/>
      <c r="F72" s="136"/>
      <c r="G72" s="136"/>
      <c r="H72" s="136"/>
      <c r="I72" s="136"/>
    </row>
    <row r="73" s="168" customFormat="1" spans="1:9">
      <c r="A73" s="136"/>
      <c r="B73" s="200" t="s">
        <v>96</v>
      </c>
      <c r="C73" s="200" t="s">
        <v>97</v>
      </c>
      <c r="D73" s="200" t="s">
        <v>98</v>
      </c>
      <c r="E73" s="136"/>
      <c r="F73" s="136"/>
      <c r="G73" s="136"/>
      <c r="H73" s="136"/>
      <c r="I73" s="136"/>
    </row>
    <row r="74" s="168" customFormat="1" spans="1:9">
      <c r="A74" s="136"/>
      <c r="B74" s="201" t="s">
        <v>99</v>
      </c>
      <c r="C74" s="200" t="s">
        <v>100</v>
      </c>
      <c r="D74" s="200" t="s">
        <v>101</v>
      </c>
      <c r="E74" s="136"/>
      <c r="F74" s="136"/>
      <c r="G74" s="136"/>
      <c r="H74" s="136"/>
      <c r="I74" s="136"/>
    </row>
    <row r="75" s="168" customFormat="1" spans="1:9">
      <c r="A75" s="136"/>
      <c r="B75" s="201" t="s">
        <v>102</v>
      </c>
      <c r="C75" s="200" t="s">
        <v>103</v>
      </c>
      <c r="D75" s="200" t="s">
        <v>104</v>
      </c>
      <c r="E75" s="136"/>
      <c r="F75" s="136"/>
      <c r="G75" s="136"/>
      <c r="H75" s="136"/>
      <c r="I75" s="136"/>
    </row>
  </sheetData>
  <sheetProtection password="BF12" sheet="1" selectLockedCells="1" objects="1"/>
  <mergeCells count="43">
    <mergeCell ref="B1:D1"/>
    <mergeCell ref="G6:H6"/>
    <mergeCell ref="F9:H9"/>
    <mergeCell ref="B19:C19"/>
    <mergeCell ref="B20:C20"/>
    <mergeCell ref="B21:C21"/>
    <mergeCell ref="B22:C22"/>
    <mergeCell ref="B23:C23"/>
    <mergeCell ref="B24:C24"/>
    <mergeCell ref="F29:H29"/>
    <mergeCell ref="C32:D32"/>
    <mergeCell ref="G32:H32"/>
    <mergeCell ref="C33:D33"/>
    <mergeCell ref="C34:D34"/>
    <mergeCell ref="C35:D35"/>
    <mergeCell ref="C36:D36"/>
    <mergeCell ref="C37:D37"/>
    <mergeCell ref="B39:D39"/>
    <mergeCell ref="B40:D40"/>
    <mergeCell ref="B41:D41"/>
    <mergeCell ref="B42:D42"/>
    <mergeCell ref="B45:E45"/>
    <mergeCell ref="F45:H45"/>
    <mergeCell ref="B46:E46"/>
    <mergeCell ref="F46:H46"/>
    <mergeCell ref="B47:E47"/>
    <mergeCell ref="F47:H47"/>
    <mergeCell ref="B48:E48"/>
    <mergeCell ref="F48:H48"/>
    <mergeCell ref="B49:E49"/>
    <mergeCell ref="F49:H49"/>
    <mergeCell ref="B50:E50"/>
    <mergeCell ref="F50:H50"/>
    <mergeCell ref="B51:E51"/>
    <mergeCell ref="F51:H51"/>
    <mergeCell ref="B52:E52"/>
    <mergeCell ref="F52:H52"/>
    <mergeCell ref="B53:E53"/>
    <mergeCell ref="F53:H53"/>
    <mergeCell ref="B54:E54"/>
    <mergeCell ref="F54:H54"/>
    <mergeCell ref="F32:F33"/>
    <mergeCell ref="G2:H5"/>
  </mergeCells>
  <conditionalFormatting sqref="F29:H29">
    <cfRule type="notContainsBlanks" dxfId="1" priority="1">
      <formula>LEN(TRIM(F29))&gt;0</formula>
    </cfRule>
  </conditionalFormatting>
  <conditionalFormatting sqref="B39:D39">
    <cfRule type="cellIs" dxfId="0" priority="5" operator="equal">
      <formula>"倒角过大，找不到可用刀具"</formula>
    </cfRule>
  </conditionalFormatting>
  <conditionalFormatting sqref="B40:D40">
    <cfRule type="cellIs" dxfId="0" priority="4" operator="equal">
      <formula>"孔大小，请选择其它解决方案吧！"</formula>
    </cfRule>
  </conditionalFormatting>
  <conditionalFormatting sqref="B41:D41">
    <cfRule type="cellIs" dxfId="0" priority="3" operator="equal">
      <formula>"刀具直径大于孔径或间隙过小"</formula>
    </cfRule>
  </conditionalFormatting>
  <conditionalFormatting sqref="B42:D42">
    <cfRule type="cellIs" dxfId="0" priority="2" operator="equal">
      <formula>"刀具长度小于工件厚度"</formula>
    </cfRule>
  </conditionalFormatting>
  <dataValidations count="2">
    <dataValidation type="list" allowBlank="1" showInputMessage="1" showErrorMessage="1" sqref="C30">
      <formula1>"085,100,120,140"</formula1>
    </dataValidation>
    <dataValidation type="list" allowBlank="1" showInputMessage="1" showErrorMessage="1" sqref="E30">
      <formula1>"060,080,100,120,140,160,200,240"</formula1>
    </dataValidation>
  </dataValidations>
  <printOptions horizontalCentered="1"/>
  <pageMargins left="0.393055555555556" right="0.393055555555556" top="0.786805555555556" bottom="0.786805555555556" header="0.550694444444444" footer="0.550694444444444"/>
  <pageSetup paperSize="9" scale="90" orientation="portrait" horizontalDpi="600"/>
  <headerFooter>
    <oddHeader>&amp;RD倒角</oddHeader>
    <oddFooter>&amp;C&amp;B&amp;KFF0000RAJACNCTOOLS</oddFooter>
  </headerFooter>
  <rowBreaks count="1" manualBreakCount="1">
    <brk id="54" max="16383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B1:H56"/>
  <sheetViews>
    <sheetView zoomScale="115" zoomScaleNormal="115" workbookViewId="0">
      <selection activeCell="D15" sqref="D15"/>
    </sheetView>
  </sheetViews>
  <sheetFormatPr defaultColWidth="9" defaultRowHeight="13.5" outlineLevelCol="7"/>
  <cols>
    <col min="1" max="1" width="2.58333333333333" style="136" customWidth="1"/>
    <col min="2" max="2" width="21.3833333333333" style="136" customWidth="1"/>
    <col min="3" max="4" width="7.725" style="136" customWidth="1"/>
    <col min="5" max="5" width="4.14166666666667" style="136" customWidth="1"/>
    <col min="6" max="6" width="6.375" style="136" customWidth="1"/>
    <col min="7" max="7" width="7.375" style="136" customWidth="1"/>
    <col min="8" max="8" width="19.375" style="136" customWidth="1"/>
    <col min="9" max="9" width="2.40833333333333" style="136" customWidth="1"/>
    <col min="10" max="16384" width="9" style="136"/>
  </cols>
  <sheetData>
    <row r="1" ht="18.75" spans="2:4">
      <c r="B1" s="137" t="s">
        <v>123</v>
      </c>
      <c r="C1" s="137"/>
      <c r="D1" s="137"/>
    </row>
    <row r="2" spans="5:5">
      <c r="E2" s="138"/>
    </row>
    <row r="3" spans="5:5">
      <c r="E3" s="138"/>
    </row>
    <row r="4" spans="5:5">
      <c r="E4" s="138"/>
    </row>
    <row r="5" spans="5:5">
      <c r="E5" s="138"/>
    </row>
    <row r="6" spans="5:5">
      <c r="E6" s="138"/>
    </row>
    <row r="7" spans="5:5">
      <c r="E7" s="138"/>
    </row>
    <row r="8" spans="5:5">
      <c r="E8" s="138"/>
    </row>
    <row r="10" ht="14.25" spans="2:8">
      <c r="B10" s="140" t="s">
        <v>37</v>
      </c>
      <c r="C10" s="140" t="s">
        <v>38</v>
      </c>
      <c r="D10" s="140" t="s">
        <v>39</v>
      </c>
      <c r="F10" s="139" t="s">
        <v>40</v>
      </c>
      <c r="G10" s="139"/>
      <c r="H10" s="139"/>
    </row>
    <row r="11" spans="2:8">
      <c r="B11" s="141" t="s">
        <v>41</v>
      </c>
      <c r="C11" s="141" t="s">
        <v>42</v>
      </c>
      <c r="D11" s="142">
        <v>12.6</v>
      </c>
      <c r="F11" s="139" t="s">
        <v>43</v>
      </c>
      <c r="G11" s="139" t="s">
        <v>44</v>
      </c>
      <c r="H11" s="139" t="s">
        <v>10</v>
      </c>
    </row>
    <row r="12" spans="2:8">
      <c r="B12" s="139" t="s">
        <v>45</v>
      </c>
      <c r="C12" s="139" t="s">
        <v>46</v>
      </c>
      <c r="D12" s="145">
        <v>10</v>
      </c>
      <c r="F12" s="139">
        <v>24000</v>
      </c>
      <c r="G12" s="143">
        <f>100/F12*60+0.1</f>
        <v>0.35</v>
      </c>
      <c r="H12" s="144" t="s">
        <v>47</v>
      </c>
    </row>
    <row r="13" spans="2:8">
      <c r="B13" s="139" t="s">
        <v>48</v>
      </c>
      <c r="C13" s="139" t="s">
        <v>49</v>
      </c>
      <c r="D13" s="145">
        <v>1</v>
      </c>
      <c r="F13" s="139">
        <v>24000</v>
      </c>
      <c r="G13" s="143">
        <f>18/F13*60+0.1</f>
        <v>0.145</v>
      </c>
      <c r="H13" s="144" t="s">
        <v>50</v>
      </c>
    </row>
    <row r="14" spans="2:8">
      <c r="B14" s="141" t="s">
        <v>51</v>
      </c>
      <c r="C14" s="141" t="s">
        <v>52</v>
      </c>
      <c r="D14" s="142">
        <v>45</v>
      </c>
      <c r="F14" s="139">
        <f>D24*2</f>
        <v>1278</v>
      </c>
      <c r="G14" s="143">
        <f>1/F14*60+0.1</f>
        <v>0.146948356807512</v>
      </c>
      <c r="H14" s="144" t="s">
        <v>53</v>
      </c>
    </row>
    <row r="15" customHeight="1" spans="2:8">
      <c r="B15" s="139" t="s">
        <v>54</v>
      </c>
      <c r="C15" s="139" t="s">
        <v>55</v>
      </c>
      <c r="D15" s="145">
        <v>1</v>
      </c>
      <c r="F15" s="139">
        <f>INT(D24*0.7)</f>
        <v>447</v>
      </c>
      <c r="G15" s="143">
        <f>3.14*($C$30/2)/F15*60+0.1</f>
        <v>0.458255033557047</v>
      </c>
      <c r="H15" s="144" t="s">
        <v>56</v>
      </c>
    </row>
    <row r="16" spans="2:8">
      <c r="B16" s="141" t="s">
        <v>57</v>
      </c>
      <c r="C16" s="141" t="s">
        <v>58</v>
      </c>
      <c r="D16" s="142">
        <v>45</v>
      </c>
      <c r="F16" s="139">
        <f>D24</f>
        <v>639</v>
      </c>
      <c r="G16" s="143">
        <f>3.14*($C$30)/F16*60+0.1</f>
        <v>0.601220657276995</v>
      </c>
      <c r="H16" s="144" t="s">
        <v>59</v>
      </c>
    </row>
    <row r="17" spans="2:8">
      <c r="B17" s="141" t="s">
        <v>60</v>
      </c>
      <c r="C17" s="141" t="s">
        <v>61</v>
      </c>
      <c r="D17" s="146">
        <f>2*TAN(RADIANS(D14))*D13+$D$11</f>
        <v>14.6</v>
      </c>
      <c r="F17" s="139">
        <f>D24*4</f>
        <v>2556</v>
      </c>
      <c r="G17" s="143">
        <f>3.14*($C$30/2)/F17*60+0.1</f>
        <v>0.162652582159624</v>
      </c>
      <c r="H17" s="144" t="s">
        <v>62</v>
      </c>
    </row>
    <row r="18" spans="2:8">
      <c r="B18" s="139" t="s">
        <v>63</v>
      </c>
      <c r="C18" s="139" t="s">
        <v>64</v>
      </c>
      <c r="D18" s="146">
        <f>2*TAN(RADIANS(D16))*D15+$D$11</f>
        <v>14.6</v>
      </c>
      <c r="F18" s="139">
        <v>24000</v>
      </c>
      <c r="G18" s="143">
        <f>118/F18*60+0.1</f>
        <v>0.395</v>
      </c>
      <c r="H18" s="144" t="s">
        <v>65</v>
      </c>
    </row>
    <row r="19" spans="2:8">
      <c r="B19" s="139" t="s">
        <v>66</v>
      </c>
      <c r="C19" s="139"/>
      <c r="D19" s="146">
        <f>(D17-D11)/2</f>
        <v>1</v>
      </c>
      <c r="F19" s="139">
        <v>24000</v>
      </c>
      <c r="G19" s="143">
        <f>300/F19*60+0.1</f>
        <v>0.85</v>
      </c>
      <c r="H19" s="144" t="s">
        <v>67</v>
      </c>
    </row>
    <row r="20" spans="2:8">
      <c r="B20" s="139" t="s">
        <v>68</v>
      </c>
      <c r="C20" s="139"/>
      <c r="D20" s="146">
        <f>(D18-D11)/2</f>
        <v>1</v>
      </c>
      <c r="F20" s="139" t="s">
        <v>69</v>
      </c>
      <c r="G20" s="143">
        <f>SUM(G11:G19)</f>
        <v>3.10907662980118</v>
      </c>
      <c r="H20" s="144" t="s">
        <v>70</v>
      </c>
    </row>
    <row r="21" spans="2:6">
      <c r="B21" s="139" t="s">
        <v>71</v>
      </c>
      <c r="C21" s="139"/>
      <c r="D21" s="146">
        <f>D20/TAN(RADIANS(D14))</f>
        <v>1</v>
      </c>
      <c r="F21" s="147" t="s">
        <v>72</v>
      </c>
    </row>
    <row r="22" spans="2:4">
      <c r="B22" s="139" t="s">
        <v>73</v>
      </c>
      <c r="C22" s="139"/>
      <c r="D22" s="142">
        <v>150</v>
      </c>
    </row>
    <row r="23" spans="2:4">
      <c r="B23" s="139" t="s">
        <v>74</v>
      </c>
      <c r="C23" s="139"/>
      <c r="D23" s="165">
        <f>INT(1000*D22/(3.14*C29))</f>
        <v>4265</v>
      </c>
    </row>
    <row r="24" spans="2:6">
      <c r="B24" s="139" t="s">
        <v>75</v>
      </c>
      <c r="C24" s="139"/>
      <c r="D24" s="165">
        <f>INT(D23*F24)</f>
        <v>639</v>
      </c>
      <c r="E24" s="147"/>
      <c r="F24" s="166">
        <f>IF(C27&gt;=140,0.16,IF(C27&gt;=120,0.15,IF(C27&gt;=100,0.12,IF(C27&gt;=85,0.1,0))))</f>
        <v>0.15</v>
      </c>
    </row>
    <row r="26" spans="2:2">
      <c r="B26" s="151" t="s">
        <v>76</v>
      </c>
    </row>
    <row r="27" spans="2:4">
      <c r="B27" s="152" t="str">
        <f>"自动选择：R-2DCE-"&amp;D14&amp;D16&amp;"-"</f>
        <v>自动选择：R-2DCE-4545-</v>
      </c>
      <c r="C27" s="153">
        <f>IF(D11&gt;=15.2,150,IF(D11&gt;=14.2,140,IF(D11&gt;=13.2,130,IF(D11&gt;=12.2,120,IF(D11&gt;=11.2,110,IF(D11&gt;=10.2,100,IF(D11&gt;=8.7,85,0)))))))</f>
        <v>120</v>
      </c>
      <c r="D27" s="154">
        <f>(D12+D21-D13)*10</f>
        <v>100</v>
      </c>
    </row>
    <row r="29" spans="2:8">
      <c r="B29" s="139" t="s">
        <v>78</v>
      </c>
      <c r="C29" s="139">
        <f>IF(C27=85,7.8,IF(C27=100,9.2,IF(C27=110,10.2,IF(C27=120,11.2,IF(C27=130,12,IF(C27=140,13,IF(C27=150,14,0)))))))</f>
        <v>11.2</v>
      </c>
      <c r="D29" s="139"/>
      <c r="H29" s="147"/>
    </row>
    <row r="30" spans="2:4">
      <c r="B30" s="139" t="s">
        <v>79</v>
      </c>
      <c r="C30" s="157">
        <f>ROUND((IF(C29=0,0,(D18-C29)/2)),2)</f>
        <v>1.7</v>
      </c>
      <c r="D30" s="157"/>
    </row>
    <row r="31" spans="2:4">
      <c r="B31" s="139" t="s">
        <v>80</v>
      </c>
      <c r="C31" s="139">
        <f>IF(C27=85,1,IF(C27=100,1.5,IF(C27=110,1.5,IF(C27=120,1.6,IF(C27=130,1.8,IF(C27=140,1.9,IF(C27=150,2,0)))))))</f>
        <v>1.6</v>
      </c>
      <c r="D31" s="139"/>
    </row>
    <row r="32" spans="2:4">
      <c r="B32" s="139" t="s">
        <v>81</v>
      </c>
      <c r="C32" s="139">
        <v>9</v>
      </c>
      <c r="D32" s="139"/>
    </row>
    <row r="34" ht="14.25" spans="2:4">
      <c r="B34" s="159" t="str">
        <f>IF((C31-MAX(D19:D20))&gt;=0,"倒角大小正常","倒角过大，找不到可用刀具")</f>
        <v>倒角大小正常</v>
      </c>
      <c r="C34" s="159"/>
      <c r="D34" s="159"/>
    </row>
    <row r="35" ht="14.25" spans="2:4">
      <c r="B35" s="159" t="str">
        <f>IF(C27=0,"孔大小，请选择其它解决方案吧！","孔径正常")</f>
        <v>孔径正常</v>
      </c>
      <c r="C35" s="159"/>
      <c r="D35" s="159"/>
    </row>
    <row r="37" ht="14.25" spans="2:2">
      <c r="B37" s="160" t="s">
        <v>8</v>
      </c>
    </row>
    <row r="38" spans="2:8">
      <c r="B38" s="161" t="s">
        <v>12</v>
      </c>
      <c r="C38" s="161"/>
      <c r="D38" s="161"/>
      <c r="E38" s="161"/>
      <c r="F38" s="161"/>
      <c r="G38" s="161"/>
      <c r="H38" s="161"/>
    </row>
    <row r="39" spans="2:8">
      <c r="B39" s="161" t="str">
        <f>"M3 S"&amp;D23&amp;" G54 G43 H1 Z100；"</f>
        <v>M3 S4265 G54 G43 H1 Z100；</v>
      </c>
      <c r="C39" s="161"/>
      <c r="D39" s="161"/>
      <c r="E39" s="161"/>
      <c r="F39" s="161"/>
      <c r="G39" s="161"/>
      <c r="H39" s="161"/>
    </row>
    <row r="40" ht="75" customHeight="1" spans="2:8">
      <c r="B40" s="162" t="str">
        <f>"G66 P8100 Z-"&amp;$D$12+8&amp;" R"&amp;C30&amp;" W60 "&amp;"F"&amp;D24&amp;"；"</f>
        <v>G66 P8100 Z-18 R1.7 W60 F639；</v>
      </c>
      <c r="C40" s="162"/>
      <c r="D40" s="162"/>
      <c r="E40" s="162"/>
      <c r="F40" s="161" t="s">
        <v>124</v>
      </c>
      <c r="G40" s="161"/>
      <c r="H40" s="161"/>
    </row>
    <row r="41" spans="2:8">
      <c r="B41" s="161" t="s">
        <v>85</v>
      </c>
      <c r="C41" s="161"/>
      <c r="D41" s="161"/>
      <c r="E41" s="161"/>
      <c r="F41" s="161" t="s">
        <v>86</v>
      </c>
      <c r="G41" s="161"/>
      <c r="H41" s="161"/>
    </row>
    <row r="42" spans="2:8">
      <c r="B42" s="163" t="s">
        <v>87</v>
      </c>
      <c r="C42" s="161"/>
      <c r="D42" s="161"/>
      <c r="E42" s="161"/>
      <c r="F42" s="161" t="s">
        <v>21</v>
      </c>
      <c r="G42" s="161"/>
      <c r="H42" s="161"/>
    </row>
    <row r="43" spans="2:8">
      <c r="B43" s="163" t="s">
        <v>88</v>
      </c>
      <c r="C43" s="161"/>
      <c r="D43" s="161"/>
      <c r="E43" s="161"/>
      <c r="F43" s="161" t="s">
        <v>23</v>
      </c>
      <c r="G43" s="161"/>
      <c r="H43" s="161"/>
    </row>
    <row r="44" spans="2:8">
      <c r="B44" s="163" t="s">
        <v>89</v>
      </c>
      <c r="C44" s="161"/>
      <c r="D44" s="161"/>
      <c r="E44" s="161"/>
      <c r="F44" s="161" t="s">
        <v>25</v>
      </c>
      <c r="G44" s="161"/>
      <c r="H44" s="161"/>
    </row>
    <row r="45" spans="2:8">
      <c r="B45" s="161" t="s">
        <v>90</v>
      </c>
      <c r="C45" s="161"/>
      <c r="D45" s="161"/>
      <c r="E45" s="161"/>
      <c r="F45" s="161" t="s">
        <v>91</v>
      </c>
      <c r="G45" s="161"/>
      <c r="H45" s="161"/>
    </row>
    <row r="46" spans="2:8">
      <c r="B46" s="161" t="s">
        <v>92</v>
      </c>
      <c r="C46" s="161"/>
      <c r="D46" s="161"/>
      <c r="E46" s="161"/>
      <c r="F46" s="161" t="s">
        <v>31</v>
      </c>
      <c r="G46" s="161"/>
      <c r="H46" s="161"/>
    </row>
    <row r="47" spans="2:8">
      <c r="B47" s="161" t="s">
        <v>32</v>
      </c>
      <c r="C47" s="161"/>
      <c r="D47" s="161"/>
      <c r="E47" s="161"/>
      <c r="F47" s="164"/>
      <c r="G47" s="164"/>
      <c r="H47" s="164"/>
    </row>
    <row r="48" spans="2:8">
      <c r="B48" s="147"/>
      <c r="C48" s="147"/>
      <c r="D48" s="147"/>
      <c r="E48" s="147"/>
      <c r="F48" s="147"/>
      <c r="G48" s="147"/>
      <c r="H48" s="147"/>
    </row>
    <row r="49" spans="2:8">
      <c r="B49" s="147"/>
      <c r="C49" s="147"/>
      <c r="D49" s="147"/>
      <c r="E49" s="147"/>
      <c r="F49" s="147"/>
      <c r="G49" s="147"/>
      <c r="H49" s="147"/>
    </row>
    <row r="50" spans="2:8">
      <c r="B50" s="147"/>
      <c r="C50" s="147"/>
      <c r="D50" s="147"/>
      <c r="E50" s="147"/>
      <c r="F50" s="147"/>
      <c r="G50" s="147"/>
      <c r="H50" s="147"/>
    </row>
    <row r="51" spans="2:8">
      <c r="B51" s="167"/>
      <c r="C51" s="147"/>
      <c r="D51" s="147"/>
      <c r="E51" s="147"/>
      <c r="F51" s="147"/>
      <c r="G51" s="147"/>
      <c r="H51" s="147"/>
    </row>
    <row r="52" spans="2:8">
      <c r="B52" s="147"/>
      <c r="C52" s="147"/>
      <c r="D52" s="147"/>
      <c r="E52" s="147"/>
      <c r="F52" s="147"/>
      <c r="G52" s="147"/>
      <c r="H52" s="147"/>
    </row>
    <row r="53" spans="2:8">
      <c r="B53" s="147"/>
      <c r="C53" s="147"/>
      <c r="D53" s="147"/>
      <c r="E53" s="147"/>
      <c r="F53" s="147"/>
      <c r="G53" s="147"/>
      <c r="H53" s="147"/>
    </row>
    <row r="54" spans="2:8">
      <c r="B54" s="147"/>
      <c r="C54" s="147"/>
      <c r="D54" s="147"/>
      <c r="E54" s="147"/>
      <c r="F54" s="147"/>
      <c r="G54" s="147"/>
      <c r="H54" s="147"/>
    </row>
    <row r="55" spans="2:8">
      <c r="B55" s="147"/>
      <c r="C55" s="147"/>
      <c r="D55" s="147"/>
      <c r="E55" s="147"/>
      <c r="F55" s="147"/>
      <c r="G55" s="147"/>
      <c r="H55" s="147"/>
    </row>
    <row r="56" spans="2:8">
      <c r="B56" s="147"/>
      <c r="C56" s="147"/>
      <c r="D56" s="147"/>
      <c r="E56" s="147"/>
      <c r="F56" s="147"/>
      <c r="G56" s="147"/>
      <c r="H56" s="147"/>
    </row>
  </sheetData>
  <sheetProtection password="BF12" sheet="1" selectLockedCells="1" objects="1"/>
  <mergeCells count="34">
    <mergeCell ref="B1:D1"/>
    <mergeCell ref="F10:H10"/>
    <mergeCell ref="B19:C19"/>
    <mergeCell ref="B20:C20"/>
    <mergeCell ref="B21:C21"/>
    <mergeCell ref="B22:C22"/>
    <mergeCell ref="B23:C23"/>
    <mergeCell ref="B24:C24"/>
    <mergeCell ref="C29:D29"/>
    <mergeCell ref="C30:D30"/>
    <mergeCell ref="C31:D31"/>
    <mergeCell ref="C32:D32"/>
    <mergeCell ref="B34:D34"/>
    <mergeCell ref="B35:D35"/>
    <mergeCell ref="B38:E38"/>
    <mergeCell ref="F38:H38"/>
    <mergeCell ref="B39:E39"/>
    <mergeCell ref="F39:H39"/>
    <mergeCell ref="B40:E40"/>
    <mergeCell ref="F40:H40"/>
    <mergeCell ref="B41:E41"/>
    <mergeCell ref="F41:H41"/>
    <mergeCell ref="B42:E42"/>
    <mergeCell ref="F42:H42"/>
    <mergeCell ref="B43:E43"/>
    <mergeCell ref="F43:H43"/>
    <mergeCell ref="B44:E44"/>
    <mergeCell ref="F44:H44"/>
    <mergeCell ref="B45:E45"/>
    <mergeCell ref="F45:H45"/>
    <mergeCell ref="B46:E46"/>
    <mergeCell ref="F46:H46"/>
    <mergeCell ref="B47:E47"/>
    <mergeCell ref="F47:H47"/>
  </mergeCells>
  <conditionalFormatting sqref="B34:D34">
    <cfRule type="cellIs" dxfId="0" priority="1" operator="equal">
      <formula>"倒角过大，找不到可用刀具"</formula>
    </cfRule>
    <cfRule type="cellIs" dxfId="0" priority="3" operator="equal">
      <formula>"倒角过大，找不到可用刀具"</formula>
    </cfRule>
  </conditionalFormatting>
  <conditionalFormatting sqref="B35:D35">
    <cfRule type="cellIs" dxfId="0" priority="2" operator="equal">
      <formula>"孔大小，请选择其它解决方案吧！"</formula>
    </cfRule>
    <cfRule type="cellIs" dxfId="0" priority="4" operator="lessThan">
      <formula>0</formula>
    </cfRule>
  </conditionalFormatting>
  <printOptions horizontalCentered="1"/>
  <pageMargins left="0.472222222222222" right="0.472222222222222" top="0.590277777777778" bottom="0.786805555555556" header="0.511805555555556" footer="0.511805555555556"/>
  <pageSetup paperSize="9" orientation="portrait" horizontalDpi="600"/>
  <headerFooter>
    <oddFooter>&amp;C&amp;B&amp;KFF0000RAJACNCTOOLS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B1:H53"/>
  <sheetViews>
    <sheetView zoomScale="115" zoomScaleNormal="115" workbookViewId="0">
      <selection activeCell="D22" sqref="D22"/>
    </sheetView>
  </sheetViews>
  <sheetFormatPr defaultColWidth="9" defaultRowHeight="13.5" outlineLevelCol="7"/>
  <cols>
    <col min="1" max="1" width="2.58333333333333" style="136" customWidth="1"/>
    <col min="2" max="2" width="21.3833333333333" style="136" customWidth="1"/>
    <col min="3" max="4" width="7.725" style="136" customWidth="1"/>
    <col min="5" max="5" width="4.14166666666667" style="136" customWidth="1"/>
    <col min="6" max="6" width="6.375" style="136" customWidth="1"/>
    <col min="7" max="7" width="7.375" style="136" customWidth="1"/>
    <col min="8" max="8" width="19.375" style="136" customWidth="1"/>
    <col min="9" max="9" width="2.40833333333333" style="136" customWidth="1"/>
    <col min="10" max="11" width="9" style="136"/>
    <col min="12" max="12" width="12.8166666666667" style="136"/>
    <col min="13" max="16384" width="9" style="136"/>
  </cols>
  <sheetData>
    <row r="1" ht="18.75" spans="2:4">
      <c r="B1" s="137" t="s">
        <v>125</v>
      </c>
      <c r="C1" s="137"/>
      <c r="D1" s="137"/>
    </row>
    <row r="2" spans="5:5">
      <c r="E2" s="138"/>
    </row>
    <row r="3" spans="5:5">
      <c r="E3" s="138"/>
    </row>
    <row r="4" spans="5:5">
      <c r="E4" s="138"/>
    </row>
    <row r="5" spans="5:5">
      <c r="E5" s="138"/>
    </row>
    <row r="6" spans="5:5">
      <c r="E6" s="138"/>
    </row>
    <row r="7" spans="5:5">
      <c r="E7" s="138"/>
    </row>
    <row r="8" spans="5:5">
      <c r="E8" s="138"/>
    </row>
    <row r="9" spans="6:8">
      <c r="F9" s="139" t="s">
        <v>40</v>
      </c>
      <c r="G9" s="139"/>
      <c r="H9" s="139"/>
    </row>
    <row r="10" ht="14.25" spans="2:8">
      <c r="B10" s="140" t="s">
        <v>37</v>
      </c>
      <c r="C10" s="140" t="s">
        <v>38</v>
      </c>
      <c r="D10" s="140" t="s">
        <v>39</v>
      </c>
      <c r="F10" s="139" t="s">
        <v>43</v>
      </c>
      <c r="G10" s="139" t="s">
        <v>44</v>
      </c>
      <c r="H10" s="139" t="s">
        <v>10</v>
      </c>
    </row>
    <row r="11" spans="2:8">
      <c r="B11" s="141" t="s">
        <v>41</v>
      </c>
      <c r="C11" s="141" t="s">
        <v>42</v>
      </c>
      <c r="D11" s="142">
        <v>12.6</v>
      </c>
      <c r="F11" s="139">
        <v>24000</v>
      </c>
      <c r="G11" s="143">
        <f>100/F11*60+0.1</f>
        <v>0.35</v>
      </c>
      <c r="H11" s="144" t="s">
        <v>47</v>
      </c>
    </row>
    <row r="12" spans="2:8">
      <c r="B12" s="139" t="s">
        <v>45</v>
      </c>
      <c r="C12" s="139" t="s">
        <v>46</v>
      </c>
      <c r="D12" s="145">
        <v>10</v>
      </c>
      <c r="F12" s="139">
        <v>24000</v>
      </c>
      <c r="G12" s="143">
        <f>18/F12*60+0.1</f>
        <v>0.145</v>
      </c>
      <c r="H12" s="144" t="s">
        <v>50</v>
      </c>
    </row>
    <row r="13" spans="2:8">
      <c r="B13" s="139" t="s">
        <v>48</v>
      </c>
      <c r="C13" s="139" t="s">
        <v>49</v>
      </c>
      <c r="D13" s="145">
        <v>1</v>
      </c>
      <c r="F13" s="139">
        <f>INT(D24*0.7)</f>
        <v>417</v>
      </c>
      <c r="G13" s="143">
        <f>3/F13*60+0.1</f>
        <v>0.531654676258993</v>
      </c>
      <c r="H13" s="144" t="s">
        <v>106</v>
      </c>
    </row>
    <row r="14" spans="2:8">
      <c r="B14" s="141" t="s">
        <v>51</v>
      </c>
      <c r="C14" s="141" t="s">
        <v>52</v>
      </c>
      <c r="D14" s="142">
        <v>45</v>
      </c>
      <c r="F14" s="139">
        <v>24000</v>
      </c>
      <c r="G14" s="143">
        <f>10/F14*60+0.1</f>
        <v>0.125</v>
      </c>
      <c r="H14" s="144" t="s">
        <v>107</v>
      </c>
    </row>
    <row r="15" customHeight="1" spans="2:8">
      <c r="B15" s="139" t="s">
        <v>54</v>
      </c>
      <c r="C15" s="139" t="s">
        <v>55</v>
      </c>
      <c r="D15" s="145">
        <v>1</v>
      </c>
      <c r="F15" s="139">
        <f>INT(D24*0.7)</f>
        <v>417</v>
      </c>
      <c r="G15" s="143">
        <f>3.14*($C$31/2)/F15*60+0.1</f>
        <v>0.484028776978417</v>
      </c>
      <c r="H15" s="144" t="s">
        <v>56</v>
      </c>
    </row>
    <row r="16" spans="2:8">
      <c r="B16" s="141" t="s">
        <v>57</v>
      </c>
      <c r="C16" s="141" t="s">
        <v>58</v>
      </c>
      <c r="D16" s="142">
        <v>45</v>
      </c>
      <c r="F16" s="139">
        <f>D24</f>
        <v>597</v>
      </c>
      <c r="G16" s="143">
        <f>3.14*($C$31)/F16*60+0.1</f>
        <v>0.636482412060302</v>
      </c>
      <c r="H16" s="144" t="s">
        <v>59</v>
      </c>
    </row>
    <row r="17" spans="2:8">
      <c r="B17" s="141" t="s">
        <v>60</v>
      </c>
      <c r="C17" s="141" t="s">
        <v>61</v>
      </c>
      <c r="D17" s="146">
        <f>2*TAN(RADIANS(D14))*D13+$D$11</f>
        <v>14.6</v>
      </c>
      <c r="F17" s="139">
        <f>D24*4</f>
        <v>2388</v>
      </c>
      <c r="G17" s="143">
        <f>3.14*($C$31/2)/F17*60+0.1</f>
        <v>0.167060301507538</v>
      </c>
      <c r="H17" s="144" t="s">
        <v>62</v>
      </c>
    </row>
    <row r="18" spans="2:8">
      <c r="B18" s="139" t="s">
        <v>63</v>
      </c>
      <c r="C18" s="139" t="s">
        <v>64</v>
      </c>
      <c r="D18" s="146">
        <f>2*TAN(RADIANS(D16))*D15+$D$11</f>
        <v>14.6</v>
      </c>
      <c r="F18" s="139">
        <v>24000</v>
      </c>
      <c r="G18" s="143">
        <f>118/F18*60+0.1</f>
        <v>0.395</v>
      </c>
      <c r="H18" s="144" t="s">
        <v>65</v>
      </c>
    </row>
    <row r="19" spans="2:8">
      <c r="B19" s="139" t="s">
        <v>66</v>
      </c>
      <c r="C19" s="139"/>
      <c r="D19" s="146">
        <f>(D17-D11)/2</f>
        <v>1</v>
      </c>
      <c r="F19" s="139">
        <v>24000</v>
      </c>
      <c r="G19" s="143">
        <f>300/F19*60+0.1</f>
        <v>0.85</v>
      </c>
      <c r="H19" s="144" t="s">
        <v>67</v>
      </c>
    </row>
    <row r="20" spans="2:8">
      <c r="B20" s="139" t="s">
        <v>68</v>
      </c>
      <c r="C20" s="139"/>
      <c r="D20" s="146">
        <f>(D18-D11)/2</f>
        <v>1</v>
      </c>
      <c r="F20" s="139" t="s">
        <v>69</v>
      </c>
      <c r="G20" s="143">
        <f>SUM(G10:G19)</f>
        <v>3.68422616680525</v>
      </c>
      <c r="H20" s="144" t="s">
        <v>70</v>
      </c>
    </row>
    <row r="21" spans="2:6">
      <c r="B21" s="139" t="s">
        <v>71</v>
      </c>
      <c r="C21" s="139"/>
      <c r="D21" s="146">
        <f>D20/TAN(RADIANS(D14))</f>
        <v>1</v>
      </c>
      <c r="F21" s="147" t="s">
        <v>72</v>
      </c>
    </row>
    <row r="22" spans="2:4">
      <c r="B22" s="139" t="s">
        <v>73</v>
      </c>
      <c r="C22" s="139"/>
      <c r="D22" s="148">
        <v>140</v>
      </c>
    </row>
    <row r="23" spans="2:4">
      <c r="B23" s="139" t="s">
        <v>74</v>
      </c>
      <c r="C23" s="139"/>
      <c r="D23" s="149">
        <f>INT(1000*D22/(3.14*C30))</f>
        <v>3980</v>
      </c>
    </row>
    <row r="24" spans="2:6">
      <c r="B24" s="139" t="s">
        <v>75</v>
      </c>
      <c r="C24" s="139"/>
      <c r="D24" s="149">
        <f>INT(D23*F24)</f>
        <v>597</v>
      </c>
      <c r="F24" s="150">
        <f>IF(C28&gt;=140,0.16,IF(C28&gt;=120,0.15,IF(C28&gt;=100,0.12,IF(C28&gt;=85,0.1,0))))</f>
        <v>0.15</v>
      </c>
    </row>
    <row r="25" ht="3" customHeight="1"/>
    <row r="26" spans="2:2">
      <c r="B26" s="151" t="s">
        <v>76</v>
      </c>
    </row>
    <row r="27" spans="2:4">
      <c r="B27" s="152" t="str">
        <f>"自动选择：R-2DCG-"&amp;D14&amp;D16&amp;"-"</f>
        <v>自动选择：R-2DCG-4545-</v>
      </c>
      <c r="C27" s="153">
        <f>IF(D11&gt;=15.2,150,IF(D11&gt;=14.2,140,IF(D11&gt;=13.2,130,IF(D11&gt;=12.2,120,IF(D11&gt;=11.2,110,IF(D11&gt;=10.2,100,IF(D11&gt;=8.7,85,0)))))))</f>
        <v>120</v>
      </c>
      <c r="D27" s="154">
        <f>IF(D12&gt;16.2,200,IF(D12&gt;5.2,160,0))</f>
        <v>160</v>
      </c>
    </row>
    <row r="28" spans="2:4">
      <c r="B28" s="152" t="str">
        <f>"手动更改：R-2DCG-"&amp;D14&amp;D16&amp;"-"</f>
        <v>手动更改：R-2DCG-4545-</v>
      </c>
      <c r="C28" s="155">
        <v>120</v>
      </c>
      <c r="D28" s="156">
        <v>140</v>
      </c>
    </row>
    <row r="29" ht="3" customHeight="1"/>
    <row r="30" spans="2:8">
      <c r="B30" s="139" t="s">
        <v>78</v>
      </c>
      <c r="C30" s="139">
        <f>IF(C28=85,7.8,IF(C28=100,9.2,IF(C28=110,10.2,IF(C28=120,11.2,IF(C28=130,12,IF(C28=140,13,IF(C28=150,14,0)))))))</f>
        <v>11.2</v>
      </c>
      <c r="D30" s="139"/>
      <c r="H30" s="147"/>
    </row>
    <row r="31" spans="2:4">
      <c r="B31" s="139" t="s">
        <v>79</v>
      </c>
      <c r="C31" s="157">
        <f>ROUND((IF(C30=0,0,(D18-C30)/2)),2)</f>
        <v>1.7</v>
      </c>
      <c r="D31" s="157"/>
    </row>
    <row r="32" spans="2:4">
      <c r="B32" s="139" t="s">
        <v>80</v>
      </c>
      <c r="C32" s="139">
        <f>IF(C28=85,1,IF(C28=100,1.5,IF(C28=110,1.5,IF(C28=120,1.6,IF(C28=130,1.8,IF(C28=140,1.9,IF(C28=150,2,0)))))))</f>
        <v>1.6</v>
      </c>
      <c r="D32" s="139"/>
    </row>
    <row r="33" spans="2:4">
      <c r="B33" s="139" t="s">
        <v>81</v>
      </c>
      <c r="C33" s="139">
        <f>C35+D12-1</f>
        <v>-14.7</v>
      </c>
      <c r="D33" s="139"/>
    </row>
    <row r="34" spans="2:4">
      <c r="B34" s="139" t="s">
        <v>115</v>
      </c>
      <c r="C34" s="139">
        <f>-($D$12+8)</f>
        <v>-18</v>
      </c>
      <c r="D34" s="139"/>
    </row>
    <row r="35" spans="2:4">
      <c r="B35" s="139" t="s">
        <v>116</v>
      </c>
      <c r="C35" s="139">
        <f>-ROUND(($D$28/10+8+$D$13+(D11-C30)/2/TAN(RADIANS(D14))),2)</f>
        <v>-23.7</v>
      </c>
      <c r="D35" s="139"/>
    </row>
    <row r="36" ht="3" customHeight="1"/>
    <row r="37" ht="14.25" spans="2:4">
      <c r="B37" s="158" t="str">
        <f>IF((C32-MAX(D19:D20))&gt;=0,"倒角大小正常","倒角过大，找不到可用刀具")</f>
        <v>倒角大小正常</v>
      </c>
      <c r="C37" s="158"/>
      <c r="D37" s="158"/>
    </row>
    <row r="38" ht="14.25" spans="2:4">
      <c r="B38" s="159" t="str">
        <f>IF(C27=0,"孔大小，请选择其它解决方案吧！","孔径正常")</f>
        <v>孔径正常</v>
      </c>
      <c r="C38" s="159"/>
      <c r="D38" s="159"/>
    </row>
    <row r="39" ht="14.25" spans="2:4">
      <c r="B39" s="159" t="str">
        <f>IF((D11-(C28/10))&lt;=0.199999,"刀具直径大于孔径或间隙过小","选用的刀具直径合格")</f>
        <v>选用的刀具直径合格</v>
      </c>
      <c r="C39" s="159"/>
      <c r="D39" s="159"/>
    </row>
    <row r="40" ht="14.25" spans="2:4">
      <c r="B40" s="159" t="str">
        <f>IF((D28/10-D12)&lt;=0.19999,"刀具长度小于工件厚度","选用的刀具长度合格")</f>
        <v>选用的刀具长度合格</v>
      </c>
      <c r="C40" s="159"/>
      <c r="D40" s="159"/>
    </row>
    <row r="41" ht="3" customHeight="1"/>
    <row r="42" ht="14.25" spans="2:2">
      <c r="B42" s="160" t="s">
        <v>82</v>
      </c>
    </row>
    <row r="43" spans="2:2">
      <c r="B43" s="151" t="s">
        <v>83</v>
      </c>
    </row>
    <row r="44" spans="2:8">
      <c r="B44" s="161" t="s">
        <v>12</v>
      </c>
      <c r="C44" s="161"/>
      <c r="D44" s="161"/>
      <c r="E44" s="161"/>
      <c r="F44" s="161"/>
      <c r="G44" s="161"/>
      <c r="H44" s="161"/>
    </row>
    <row r="45" spans="2:8">
      <c r="B45" s="161" t="str">
        <f>"M3 S"&amp;D23&amp;" G54 G43 H1 Z100；"</f>
        <v>M3 S3980 G54 G43 H1 Z100；</v>
      </c>
      <c r="C45" s="161"/>
      <c r="D45" s="161"/>
      <c r="E45" s="161"/>
      <c r="F45" s="161"/>
      <c r="G45" s="161"/>
      <c r="H45" s="161"/>
    </row>
    <row r="46" ht="87" customHeight="1" spans="2:8">
      <c r="B46" s="162" t="str">
        <f>"G66 P8120 H"&amp;C35&amp;" Z"&amp;C34&amp;" R"&amp;C31&amp;" W100 "&amp;"F"&amp;D24&amp;"；"</f>
        <v>G66 P8120 H-23.7 Z-18 R1.7 W100 F597；</v>
      </c>
      <c r="C46" s="162"/>
      <c r="D46" s="162"/>
      <c r="E46" s="162"/>
      <c r="F46" s="161" t="s">
        <v>126</v>
      </c>
      <c r="G46" s="161"/>
      <c r="H46" s="161"/>
    </row>
    <row r="47" spans="2:8">
      <c r="B47" s="161" t="s">
        <v>85</v>
      </c>
      <c r="C47" s="161"/>
      <c r="D47" s="161"/>
      <c r="E47" s="161"/>
      <c r="F47" s="161" t="s">
        <v>86</v>
      </c>
      <c r="G47" s="161"/>
      <c r="H47" s="161"/>
    </row>
    <row r="48" spans="2:8">
      <c r="B48" s="163" t="s">
        <v>87</v>
      </c>
      <c r="C48" s="161"/>
      <c r="D48" s="161"/>
      <c r="E48" s="161"/>
      <c r="F48" s="161" t="s">
        <v>21</v>
      </c>
      <c r="G48" s="161"/>
      <c r="H48" s="161"/>
    </row>
    <row r="49" spans="2:8">
      <c r="B49" s="163" t="s">
        <v>88</v>
      </c>
      <c r="C49" s="161"/>
      <c r="D49" s="161"/>
      <c r="E49" s="161"/>
      <c r="F49" s="161" t="s">
        <v>23</v>
      </c>
      <c r="G49" s="161"/>
      <c r="H49" s="161"/>
    </row>
    <row r="50" spans="2:8">
      <c r="B50" s="163" t="s">
        <v>89</v>
      </c>
      <c r="C50" s="161"/>
      <c r="D50" s="161"/>
      <c r="E50" s="161"/>
      <c r="F50" s="161" t="s">
        <v>25</v>
      </c>
      <c r="G50" s="161"/>
      <c r="H50" s="161"/>
    </row>
    <row r="51" spans="2:8">
      <c r="B51" s="161" t="s">
        <v>90</v>
      </c>
      <c r="C51" s="161"/>
      <c r="D51" s="161"/>
      <c r="E51" s="161"/>
      <c r="F51" s="161" t="s">
        <v>91</v>
      </c>
      <c r="G51" s="161"/>
      <c r="H51" s="161"/>
    </row>
    <row r="52" spans="2:8">
      <c r="B52" s="161" t="s">
        <v>92</v>
      </c>
      <c r="C52" s="161"/>
      <c r="D52" s="161"/>
      <c r="E52" s="161"/>
      <c r="F52" s="161" t="s">
        <v>31</v>
      </c>
      <c r="G52" s="161"/>
      <c r="H52" s="161"/>
    </row>
    <row r="53" spans="2:8">
      <c r="B53" s="161" t="s">
        <v>32</v>
      </c>
      <c r="C53" s="161"/>
      <c r="D53" s="161"/>
      <c r="E53" s="161"/>
      <c r="F53" s="164"/>
      <c r="G53" s="164"/>
      <c r="H53" s="164"/>
    </row>
  </sheetData>
  <sheetProtection password="BF12" sheet="1" selectLockedCells="1" objects="1"/>
  <mergeCells count="38">
    <mergeCell ref="B1:D1"/>
    <mergeCell ref="F9:H9"/>
    <mergeCell ref="B19:C19"/>
    <mergeCell ref="B20:C20"/>
    <mergeCell ref="B21:C21"/>
    <mergeCell ref="B22:C22"/>
    <mergeCell ref="B23:C23"/>
    <mergeCell ref="B24:C24"/>
    <mergeCell ref="C30:D30"/>
    <mergeCell ref="C31:D31"/>
    <mergeCell ref="C32:D32"/>
    <mergeCell ref="C33:D33"/>
    <mergeCell ref="C34:D34"/>
    <mergeCell ref="C35:D35"/>
    <mergeCell ref="B37:D37"/>
    <mergeCell ref="B38:D38"/>
    <mergeCell ref="B39:D39"/>
    <mergeCell ref="B40:D40"/>
    <mergeCell ref="B44:E44"/>
    <mergeCell ref="F44:H44"/>
    <mergeCell ref="B45:E45"/>
    <mergeCell ref="F45:H45"/>
    <mergeCell ref="B46:E46"/>
    <mergeCell ref="F46:H46"/>
    <mergeCell ref="B47:E47"/>
    <mergeCell ref="F47:H47"/>
    <mergeCell ref="B48:E48"/>
    <mergeCell ref="F48:H48"/>
    <mergeCell ref="B49:E49"/>
    <mergeCell ref="F49:H49"/>
    <mergeCell ref="B50:E50"/>
    <mergeCell ref="F50:H50"/>
    <mergeCell ref="B51:E51"/>
    <mergeCell ref="F51:H51"/>
    <mergeCell ref="B52:E52"/>
    <mergeCell ref="F52:H52"/>
    <mergeCell ref="B53:E53"/>
    <mergeCell ref="F53:H53"/>
  </mergeCells>
  <conditionalFormatting sqref="B37:D37">
    <cfRule type="cellIs" dxfId="0" priority="6" operator="equal">
      <formula>"倒角过大，找不到可用刀具"</formula>
    </cfRule>
  </conditionalFormatting>
  <conditionalFormatting sqref="B38:D38">
    <cfRule type="cellIs" dxfId="0" priority="3" operator="equal">
      <formula>"孔大小，请选择其它解决方案吧！"</formula>
    </cfRule>
  </conditionalFormatting>
  <conditionalFormatting sqref="B39:D39">
    <cfRule type="cellIs" dxfId="0" priority="2" operator="equal">
      <formula>"刀具直径大于孔径或间隙过小"</formula>
    </cfRule>
  </conditionalFormatting>
  <conditionalFormatting sqref="B40:D40">
    <cfRule type="cellIs" dxfId="0" priority="1" operator="equal">
      <formula>"刀具长度小于工件厚度"</formula>
    </cfRule>
  </conditionalFormatting>
  <dataValidations count="2">
    <dataValidation type="list" allowBlank="1" showInputMessage="1" showErrorMessage="1" sqref="C28">
      <formula1>"085,100,120,140"</formula1>
    </dataValidation>
    <dataValidation type="list" allowBlank="1" showInputMessage="1" showErrorMessage="1" sqref="D28">
      <formula1>"060,080,100,120,140,160,200,240"</formula1>
    </dataValidation>
  </dataValidations>
  <printOptions horizontalCentered="1"/>
  <pageMargins left="0.472222222222222" right="0.472222222222222" top="0.590277777777778" bottom="0.786805555555556" header="0.196527777777778" footer="0.511805555555556"/>
  <pageSetup paperSize="9" scale="97" orientation="portrait" horizontalDpi="600"/>
  <headerFooter>
    <oddFooter>&amp;C&amp;B&amp;KFF0000RAJACNCTOOLS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2:R50"/>
  <sheetViews>
    <sheetView zoomScale="130" zoomScaleNormal="130" workbookViewId="0">
      <selection activeCell="R14" sqref="R14"/>
    </sheetView>
  </sheetViews>
  <sheetFormatPr defaultColWidth="9" defaultRowHeight="14.25"/>
  <cols>
    <col min="1" max="1" width="1.40833333333333" style="2" customWidth="1"/>
    <col min="2" max="2" width="9.21666666666667" style="24" customWidth="1"/>
    <col min="3" max="4" width="6.625" style="24" hidden="1" customWidth="1"/>
    <col min="5" max="5" width="1.575" style="24" hidden="1" customWidth="1"/>
    <col min="6" max="6" width="5.375" style="24" customWidth="1"/>
    <col min="7" max="7" width="3.375" style="24" customWidth="1"/>
    <col min="8" max="8" width="4.375" style="24" customWidth="1"/>
    <col min="9" max="9" width="1.625" style="24" customWidth="1"/>
    <col min="10" max="10" width="6.375" style="24" customWidth="1"/>
    <col min="11" max="11" width="3.375" style="24" customWidth="1"/>
    <col min="12" max="12" width="6.375" style="24" customWidth="1"/>
    <col min="13" max="13" width="1.625" style="24" customWidth="1"/>
    <col min="14" max="14" width="5.375" style="24" customWidth="1"/>
    <col min="15" max="15" width="3.375" style="24" customWidth="1"/>
    <col min="16" max="16" width="5.375" style="24" customWidth="1"/>
    <col min="17" max="17" width="1.625" style="24" customWidth="1"/>
    <col min="18" max="18" width="22.625" style="24" customWidth="1"/>
    <col min="19" max="16384" width="9" style="24"/>
  </cols>
  <sheetData>
    <row r="2" ht="20" customHeight="1"/>
    <row r="3" spans="2:2">
      <c r="B3" s="100" t="s">
        <v>127</v>
      </c>
    </row>
    <row r="8" ht="18" customHeight="1" spans="2:18">
      <c r="B8" s="101" t="s">
        <v>128</v>
      </c>
      <c r="C8" s="102" t="s">
        <v>129</v>
      </c>
      <c r="D8" s="102"/>
      <c r="F8" s="28" t="s">
        <v>130</v>
      </c>
      <c r="G8" s="28"/>
      <c r="H8" s="28"/>
      <c r="I8" s="115"/>
      <c r="J8" s="28" t="s">
        <v>131</v>
      </c>
      <c r="K8" s="28"/>
      <c r="L8" s="28"/>
      <c r="M8" s="115"/>
      <c r="N8" s="28" t="s">
        <v>132</v>
      </c>
      <c r="O8" s="28"/>
      <c r="P8" s="28"/>
      <c r="Q8" s="110"/>
      <c r="R8" s="28" t="s">
        <v>133</v>
      </c>
    </row>
    <row r="9" spans="2:18">
      <c r="B9" s="103"/>
      <c r="C9" s="104" t="s">
        <v>134</v>
      </c>
      <c r="D9" s="104" t="s">
        <v>135</v>
      </c>
      <c r="F9" s="17">
        <v>70</v>
      </c>
      <c r="G9" s="28" t="s">
        <v>136</v>
      </c>
      <c r="H9" s="28">
        <v>10</v>
      </c>
      <c r="I9" s="116"/>
      <c r="J9" s="28" t="s">
        <v>137</v>
      </c>
      <c r="K9" s="28" t="s">
        <v>136</v>
      </c>
      <c r="L9" s="28" t="s">
        <v>138</v>
      </c>
      <c r="M9" s="116"/>
      <c r="N9" s="28" t="s">
        <v>137</v>
      </c>
      <c r="O9" s="28" t="s">
        <v>136</v>
      </c>
      <c r="P9" s="28" t="s">
        <v>138</v>
      </c>
      <c r="R9" s="28"/>
    </row>
    <row r="10" spans="2:18">
      <c r="B10" s="105">
        <v>15</v>
      </c>
      <c r="C10" s="106"/>
      <c r="D10" s="106"/>
      <c r="F10" s="28">
        <f t="shared" ref="F10:F30" si="0">(ROUND(((1000*F$9)/(3.14*$B10)/100),0))*100</f>
        <v>1500</v>
      </c>
      <c r="G10" s="28" t="s">
        <v>136</v>
      </c>
      <c r="H10" s="28">
        <f t="shared" ref="H10:H30" si="1">(ROUND(((1000*H$9)/(3.14*$B10)/100),0))*100</f>
        <v>200</v>
      </c>
      <c r="I10" s="117"/>
      <c r="J10" s="118">
        <v>0.2</v>
      </c>
      <c r="K10" s="28" t="s">
        <v>136</v>
      </c>
      <c r="L10" s="119">
        <f>J10*0.1</f>
        <v>0.02</v>
      </c>
      <c r="M10" s="119"/>
      <c r="N10" s="44">
        <f>F10*J10</f>
        <v>300</v>
      </c>
      <c r="O10" s="28" t="s">
        <v>136</v>
      </c>
      <c r="P10" s="44">
        <f>ROUND(F10*L10/10,0)*10</f>
        <v>30</v>
      </c>
      <c r="Q10" s="125"/>
      <c r="R10" s="28"/>
    </row>
    <row r="11" spans="2:18">
      <c r="B11" s="16">
        <v>5.1</v>
      </c>
      <c r="C11" s="106">
        <v>0.12</v>
      </c>
      <c r="D11" s="106">
        <v>0.18</v>
      </c>
      <c r="F11" s="28">
        <f t="shared" si="0"/>
        <v>4400</v>
      </c>
      <c r="G11" s="28" t="s">
        <v>136</v>
      </c>
      <c r="H11" s="28">
        <f t="shared" si="1"/>
        <v>600</v>
      </c>
      <c r="I11" s="116"/>
      <c r="J11" s="119">
        <f t="shared" ref="J11:J30" si="2">((D11-C11)*0.6+C11)</f>
        <v>0.156</v>
      </c>
      <c r="K11" s="28" t="s">
        <v>136</v>
      </c>
      <c r="L11" s="119">
        <f t="shared" ref="L11:L30" si="3">((D11-C11)*0.4)</f>
        <v>0.024</v>
      </c>
      <c r="M11" s="116"/>
      <c r="N11" s="44">
        <f t="shared" ref="N11:N30" si="4">ROUND((F11*((D11-C11)*0.6+C11))/10,0)*10</f>
        <v>690</v>
      </c>
      <c r="O11" s="28" t="s">
        <v>136</v>
      </c>
      <c r="P11" s="44">
        <f t="shared" ref="P11:P30" si="5">ROUND(F11*((D11-C11)*0.4)/10,0)*10</f>
        <v>110</v>
      </c>
      <c r="R11" s="28" t="s">
        <v>139</v>
      </c>
    </row>
    <row r="12" spans="2:18">
      <c r="B12" s="16">
        <v>6</v>
      </c>
      <c r="C12" s="106">
        <v>0.14</v>
      </c>
      <c r="D12" s="106">
        <v>0.18</v>
      </c>
      <c r="F12" s="28">
        <f t="shared" si="0"/>
        <v>3700</v>
      </c>
      <c r="G12" s="28" t="s">
        <v>136</v>
      </c>
      <c r="H12" s="28">
        <f t="shared" si="1"/>
        <v>500</v>
      </c>
      <c r="I12" s="116"/>
      <c r="J12" s="119">
        <f t="shared" si="2"/>
        <v>0.164</v>
      </c>
      <c r="K12" s="28" t="s">
        <v>136</v>
      </c>
      <c r="L12" s="119">
        <f t="shared" si="3"/>
        <v>0.016</v>
      </c>
      <c r="M12" s="116"/>
      <c r="N12" s="44">
        <f t="shared" si="4"/>
        <v>610</v>
      </c>
      <c r="O12" s="28" t="s">
        <v>136</v>
      </c>
      <c r="P12" s="44">
        <f t="shared" si="5"/>
        <v>60</v>
      </c>
      <c r="R12" s="28"/>
    </row>
    <row r="13" spans="2:18">
      <c r="B13" s="16">
        <v>6.8</v>
      </c>
      <c r="C13" s="106">
        <v>0.14</v>
      </c>
      <c r="D13" s="106">
        <v>0.18</v>
      </c>
      <c r="F13" s="28">
        <f t="shared" si="0"/>
        <v>3300</v>
      </c>
      <c r="G13" s="28" t="s">
        <v>136</v>
      </c>
      <c r="H13" s="28">
        <f t="shared" si="1"/>
        <v>500</v>
      </c>
      <c r="I13" s="116"/>
      <c r="J13" s="119">
        <f t="shared" si="2"/>
        <v>0.164</v>
      </c>
      <c r="K13" s="28" t="s">
        <v>136</v>
      </c>
      <c r="L13" s="119">
        <f t="shared" si="3"/>
        <v>0.016</v>
      </c>
      <c r="M13" s="116"/>
      <c r="N13" s="44">
        <f t="shared" si="4"/>
        <v>540</v>
      </c>
      <c r="O13" s="28" t="s">
        <v>136</v>
      </c>
      <c r="P13" s="44">
        <f t="shared" si="5"/>
        <v>50</v>
      </c>
      <c r="R13" s="28" t="s">
        <v>140</v>
      </c>
    </row>
    <row r="14" spans="2:18">
      <c r="B14" s="16">
        <v>8</v>
      </c>
      <c r="C14" s="106">
        <v>0.16</v>
      </c>
      <c r="D14" s="106">
        <v>0.24</v>
      </c>
      <c r="F14" s="28">
        <f t="shared" si="0"/>
        <v>2800</v>
      </c>
      <c r="G14" s="28" t="s">
        <v>136</v>
      </c>
      <c r="H14" s="28">
        <f t="shared" si="1"/>
        <v>400</v>
      </c>
      <c r="I14" s="116"/>
      <c r="J14" s="119">
        <f t="shared" si="2"/>
        <v>0.208</v>
      </c>
      <c r="K14" s="28" t="s">
        <v>136</v>
      </c>
      <c r="L14" s="119">
        <f t="shared" si="3"/>
        <v>0.032</v>
      </c>
      <c r="M14" s="116"/>
      <c r="N14" s="44">
        <f t="shared" si="4"/>
        <v>580</v>
      </c>
      <c r="O14" s="28" t="s">
        <v>136</v>
      </c>
      <c r="P14" s="44">
        <f t="shared" si="5"/>
        <v>90</v>
      </c>
      <c r="R14" s="28"/>
    </row>
    <row r="15" spans="2:18">
      <c r="B15" s="16">
        <v>8.6</v>
      </c>
      <c r="C15" s="106">
        <v>0.16</v>
      </c>
      <c r="D15" s="106">
        <v>0.24</v>
      </c>
      <c r="F15" s="28">
        <f t="shared" si="0"/>
        <v>2600</v>
      </c>
      <c r="G15" s="28" t="s">
        <v>136</v>
      </c>
      <c r="H15" s="28">
        <f t="shared" si="1"/>
        <v>400</v>
      </c>
      <c r="I15" s="116"/>
      <c r="J15" s="119">
        <f t="shared" si="2"/>
        <v>0.208</v>
      </c>
      <c r="K15" s="28" t="s">
        <v>136</v>
      </c>
      <c r="L15" s="119">
        <f t="shared" si="3"/>
        <v>0.032</v>
      </c>
      <c r="M15" s="116"/>
      <c r="N15" s="44">
        <f t="shared" si="4"/>
        <v>540</v>
      </c>
      <c r="O15" s="28" t="s">
        <v>136</v>
      </c>
      <c r="P15" s="44">
        <f t="shared" si="5"/>
        <v>80</v>
      </c>
      <c r="R15" s="28" t="s">
        <v>141</v>
      </c>
    </row>
    <row r="16" spans="2:18">
      <c r="B16" s="16">
        <v>8.8</v>
      </c>
      <c r="C16" s="106">
        <v>0.16</v>
      </c>
      <c r="D16" s="106">
        <v>0.24</v>
      </c>
      <c r="F16" s="28">
        <f t="shared" si="0"/>
        <v>2500</v>
      </c>
      <c r="G16" s="28" t="s">
        <v>136</v>
      </c>
      <c r="H16" s="28">
        <f t="shared" si="1"/>
        <v>400</v>
      </c>
      <c r="I16" s="116"/>
      <c r="J16" s="119">
        <f t="shared" si="2"/>
        <v>0.208</v>
      </c>
      <c r="K16" s="28" t="s">
        <v>136</v>
      </c>
      <c r="L16" s="119">
        <f t="shared" si="3"/>
        <v>0.032</v>
      </c>
      <c r="M16" s="116"/>
      <c r="N16" s="44">
        <f t="shared" si="4"/>
        <v>520</v>
      </c>
      <c r="O16" s="28" t="s">
        <v>136</v>
      </c>
      <c r="P16" s="44">
        <f t="shared" si="5"/>
        <v>80</v>
      </c>
      <c r="R16" s="28" t="s">
        <v>142</v>
      </c>
    </row>
    <row r="17" spans="2:18">
      <c r="B17" s="16">
        <v>10</v>
      </c>
      <c r="C17" s="106">
        <v>0.18</v>
      </c>
      <c r="D17" s="106">
        <v>0.27</v>
      </c>
      <c r="F17" s="28">
        <f t="shared" si="0"/>
        <v>2200</v>
      </c>
      <c r="G17" s="28" t="s">
        <v>136</v>
      </c>
      <c r="H17" s="28">
        <f t="shared" si="1"/>
        <v>300</v>
      </c>
      <c r="I17" s="116"/>
      <c r="J17" s="119">
        <f t="shared" si="2"/>
        <v>0.234</v>
      </c>
      <c r="K17" s="28" t="s">
        <v>136</v>
      </c>
      <c r="L17" s="119">
        <f t="shared" si="3"/>
        <v>0.036</v>
      </c>
      <c r="M17" s="116"/>
      <c r="N17" s="44">
        <f t="shared" si="4"/>
        <v>510</v>
      </c>
      <c r="O17" s="28" t="s">
        <v>136</v>
      </c>
      <c r="P17" s="44">
        <f t="shared" si="5"/>
        <v>80</v>
      </c>
      <c r="R17" s="28"/>
    </row>
    <row r="18" spans="2:18">
      <c r="B18" s="16">
        <v>10.3</v>
      </c>
      <c r="C18" s="106">
        <v>0.18</v>
      </c>
      <c r="D18" s="106">
        <v>0.27</v>
      </c>
      <c r="F18" s="28">
        <f t="shared" si="0"/>
        <v>2200</v>
      </c>
      <c r="G18" s="28" t="s">
        <v>136</v>
      </c>
      <c r="H18" s="28">
        <f t="shared" si="1"/>
        <v>300</v>
      </c>
      <c r="I18" s="116"/>
      <c r="J18" s="119">
        <f t="shared" si="2"/>
        <v>0.234</v>
      </c>
      <c r="K18" s="28" t="s">
        <v>136</v>
      </c>
      <c r="L18" s="119">
        <f t="shared" si="3"/>
        <v>0.036</v>
      </c>
      <c r="M18" s="116"/>
      <c r="N18" s="44">
        <f t="shared" si="4"/>
        <v>510</v>
      </c>
      <c r="O18" s="28" t="s">
        <v>136</v>
      </c>
      <c r="P18" s="44">
        <f t="shared" si="5"/>
        <v>80</v>
      </c>
      <c r="R18" s="28" t="s">
        <v>143</v>
      </c>
    </row>
    <row r="19" spans="2:18">
      <c r="B19" s="16">
        <v>10.6</v>
      </c>
      <c r="C19" s="106">
        <v>0.18</v>
      </c>
      <c r="D19" s="106">
        <v>0.27</v>
      </c>
      <c r="F19" s="28">
        <f t="shared" si="0"/>
        <v>2100</v>
      </c>
      <c r="G19" s="28" t="s">
        <v>136</v>
      </c>
      <c r="H19" s="28">
        <f t="shared" si="1"/>
        <v>300</v>
      </c>
      <c r="I19" s="116"/>
      <c r="J19" s="119">
        <f t="shared" si="2"/>
        <v>0.234</v>
      </c>
      <c r="K19" s="28" t="s">
        <v>136</v>
      </c>
      <c r="L19" s="119">
        <f t="shared" si="3"/>
        <v>0.036</v>
      </c>
      <c r="M19" s="116"/>
      <c r="N19" s="44">
        <f t="shared" si="4"/>
        <v>490</v>
      </c>
      <c r="O19" s="28" t="s">
        <v>136</v>
      </c>
      <c r="P19" s="44">
        <f t="shared" si="5"/>
        <v>80</v>
      </c>
      <c r="R19" s="28" t="s">
        <v>144</v>
      </c>
    </row>
    <row r="20" spans="2:18">
      <c r="B20" s="16">
        <v>10.8</v>
      </c>
      <c r="C20" s="106">
        <v>0.18</v>
      </c>
      <c r="D20" s="106">
        <v>0.27</v>
      </c>
      <c r="F20" s="28">
        <f t="shared" si="0"/>
        <v>2100</v>
      </c>
      <c r="G20" s="28" t="s">
        <v>136</v>
      </c>
      <c r="H20" s="28">
        <f t="shared" si="1"/>
        <v>300</v>
      </c>
      <c r="I20" s="116"/>
      <c r="J20" s="119">
        <f t="shared" si="2"/>
        <v>0.234</v>
      </c>
      <c r="K20" s="28" t="s">
        <v>136</v>
      </c>
      <c r="L20" s="119">
        <f t="shared" si="3"/>
        <v>0.036</v>
      </c>
      <c r="M20" s="116"/>
      <c r="N20" s="44">
        <f t="shared" si="4"/>
        <v>490</v>
      </c>
      <c r="O20" s="28" t="s">
        <v>136</v>
      </c>
      <c r="P20" s="44">
        <f t="shared" si="5"/>
        <v>80</v>
      </c>
      <c r="R20" s="28" t="s">
        <v>145</v>
      </c>
    </row>
    <row r="21" spans="2:18">
      <c r="B21" s="16">
        <v>11</v>
      </c>
      <c r="C21" s="106">
        <v>0.18</v>
      </c>
      <c r="D21" s="106">
        <v>0.27</v>
      </c>
      <c r="F21" s="28">
        <f t="shared" si="0"/>
        <v>2000</v>
      </c>
      <c r="G21" s="28" t="s">
        <v>136</v>
      </c>
      <c r="H21" s="28">
        <f t="shared" si="1"/>
        <v>300</v>
      </c>
      <c r="I21" s="116"/>
      <c r="J21" s="119">
        <f t="shared" si="2"/>
        <v>0.234</v>
      </c>
      <c r="K21" s="28" t="s">
        <v>136</v>
      </c>
      <c r="L21" s="119">
        <f t="shared" si="3"/>
        <v>0.036</v>
      </c>
      <c r="M21" s="116"/>
      <c r="N21" s="44">
        <f t="shared" si="4"/>
        <v>470</v>
      </c>
      <c r="O21" s="28" t="s">
        <v>136</v>
      </c>
      <c r="P21" s="44">
        <f t="shared" si="5"/>
        <v>70</v>
      </c>
      <c r="R21" s="28"/>
    </row>
    <row r="22" spans="2:18">
      <c r="B22" s="16">
        <v>12</v>
      </c>
      <c r="C22" s="106">
        <v>0.2</v>
      </c>
      <c r="D22" s="106">
        <v>0.3</v>
      </c>
      <c r="F22" s="28">
        <f t="shared" si="0"/>
        <v>1900</v>
      </c>
      <c r="G22" s="28" t="s">
        <v>136</v>
      </c>
      <c r="H22" s="28">
        <f t="shared" si="1"/>
        <v>300</v>
      </c>
      <c r="I22" s="116"/>
      <c r="J22" s="119">
        <f t="shared" si="2"/>
        <v>0.26</v>
      </c>
      <c r="K22" s="28" t="s">
        <v>136</v>
      </c>
      <c r="L22" s="119">
        <f t="shared" si="3"/>
        <v>0.04</v>
      </c>
      <c r="M22" s="116"/>
      <c r="N22" s="44">
        <f t="shared" si="4"/>
        <v>490</v>
      </c>
      <c r="O22" s="28" t="s">
        <v>136</v>
      </c>
      <c r="P22" s="44">
        <f t="shared" si="5"/>
        <v>80</v>
      </c>
      <c r="R22" s="28"/>
    </row>
    <row r="23" spans="2:18">
      <c r="B23" s="16">
        <v>12.6</v>
      </c>
      <c r="C23" s="106">
        <v>0.2</v>
      </c>
      <c r="D23" s="106">
        <v>0.3</v>
      </c>
      <c r="F23" s="28">
        <f t="shared" si="0"/>
        <v>1800</v>
      </c>
      <c r="G23" s="28" t="s">
        <v>136</v>
      </c>
      <c r="H23" s="28">
        <f t="shared" si="1"/>
        <v>300</v>
      </c>
      <c r="I23" s="116"/>
      <c r="J23" s="119">
        <f t="shared" si="2"/>
        <v>0.26</v>
      </c>
      <c r="K23" s="28" t="s">
        <v>136</v>
      </c>
      <c r="L23" s="119">
        <f t="shared" si="3"/>
        <v>0.04</v>
      </c>
      <c r="M23" s="116"/>
      <c r="N23" s="44">
        <f t="shared" si="4"/>
        <v>470</v>
      </c>
      <c r="O23" s="28" t="s">
        <v>136</v>
      </c>
      <c r="P23" s="44">
        <f t="shared" si="5"/>
        <v>70</v>
      </c>
      <c r="R23" s="28" t="s">
        <v>146</v>
      </c>
    </row>
    <row r="24" spans="2:18">
      <c r="B24" s="16">
        <v>13</v>
      </c>
      <c r="C24" s="106">
        <v>0.2</v>
      </c>
      <c r="D24" s="106">
        <v>0.3</v>
      </c>
      <c r="F24" s="28">
        <f t="shared" si="0"/>
        <v>1700</v>
      </c>
      <c r="G24" s="28" t="s">
        <v>136</v>
      </c>
      <c r="H24" s="28">
        <f t="shared" si="1"/>
        <v>200</v>
      </c>
      <c r="I24" s="116"/>
      <c r="J24" s="119">
        <f t="shared" si="2"/>
        <v>0.26</v>
      </c>
      <c r="K24" s="28" t="s">
        <v>136</v>
      </c>
      <c r="L24" s="119">
        <f t="shared" si="3"/>
        <v>0.04</v>
      </c>
      <c r="M24" s="116"/>
      <c r="N24" s="44">
        <f t="shared" si="4"/>
        <v>440</v>
      </c>
      <c r="O24" s="28" t="s">
        <v>136</v>
      </c>
      <c r="P24" s="44">
        <f t="shared" si="5"/>
        <v>70</v>
      </c>
      <c r="R24" s="28"/>
    </row>
    <row r="25" spans="2:18">
      <c r="B25" s="16">
        <v>14</v>
      </c>
      <c r="C25" s="106">
        <v>0.22</v>
      </c>
      <c r="D25" s="106">
        <v>0.35</v>
      </c>
      <c r="F25" s="28">
        <f t="shared" si="0"/>
        <v>1600</v>
      </c>
      <c r="G25" s="28" t="s">
        <v>136</v>
      </c>
      <c r="H25" s="28">
        <f t="shared" si="1"/>
        <v>200</v>
      </c>
      <c r="I25" s="116"/>
      <c r="J25" s="119">
        <f t="shared" si="2"/>
        <v>0.298</v>
      </c>
      <c r="K25" s="28" t="s">
        <v>136</v>
      </c>
      <c r="L25" s="119">
        <f t="shared" si="3"/>
        <v>0.052</v>
      </c>
      <c r="M25" s="116"/>
      <c r="N25" s="44">
        <f t="shared" si="4"/>
        <v>480</v>
      </c>
      <c r="O25" s="28" t="s">
        <v>136</v>
      </c>
      <c r="P25" s="44">
        <f t="shared" si="5"/>
        <v>80</v>
      </c>
      <c r="R25" s="28"/>
    </row>
    <row r="26" spans="2:18">
      <c r="B26" s="16">
        <v>15</v>
      </c>
      <c r="C26" s="106">
        <v>0.22</v>
      </c>
      <c r="D26" s="106">
        <v>0.35</v>
      </c>
      <c r="F26" s="28">
        <f t="shared" si="0"/>
        <v>1500</v>
      </c>
      <c r="G26" s="28" t="s">
        <v>136</v>
      </c>
      <c r="H26" s="28">
        <f t="shared" si="1"/>
        <v>200</v>
      </c>
      <c r="I26" s="116"/>
      <c r="J26" s="119">
        <f t="shared" si="2"/>
        <v>0.298</v>
      </c>
      <c r="K26" s="28" t="s">
        <v>136</v>
      </c>
      <c r="L26" s="119">
        <f t="shared" si="3"/>
        <v>0.052</v>
      </c>
      <c r="M26" s="116"/>
      <c r="N26" s="44">
        <f t="shared" si="4"/>
        <v>450</v>
      </c>
      <c r="O26" s="28" t="s">
        <v>136</v>
      </c>
      <c r="P26" s="44">
        <f t="shared" si="5"/>
        <v>80</v>
      </c>
      <c r="R26" s="28"/>
    </row>
    <row r="27" spans="2:18">
      <c r="B27" s="16">
        <v>16</v>
      </c>
      <c r="C27" s="106">
        <v>0.25</v>
      </c>
      <c r="D27" s="106">
        <v>0.36</v>
      </c>
      <c r="F27" s="28">
        <f t="shared" si="0"/>
        <v>1400</v>
      </c>
      <c r="G27" s="28" t="s">
        <v>136</v>
      </c>
      <c r="H27" s="28">
        <f t="shared" si="1"/>
        <v>200</v>
      </c>
      <c r="I27" s="116"/>
      <c r="J27" s="119">
        <f t="shared" si="2"/>
        <v>0.316</v>
      </c>
      <c r="K27" s="28" t="s">
        <v>136</v>
      </c>
      <c r="L27" s="119">
        <f t="shared" si="3"/>
        <v>0.044</v>
      </c>
      <c r="M27" s="116"/>
      <c r="N27" s="44">
        <f t="shared" si="4"/>
        <v>440</v>
      </c>
      <c r="O27" s="28" t="s">
        <v>136</v>
      </c>
      <c r="P27" s="44">
        <f t="shared" si="5"/>
        <v>60</v>
      </c>
      <c r="R27" s="28"/>
    </row>
    <row r="28" spans="2:18">
      <c r="B28" s="16">
        <v>17</v>
      </c>
      <c r="C28" s="106">
        <v>0.25</v>
      </c>
      <c r="D28" s="106">
        <v>0.36</v>
      </c>
      <c r="F28" s="28">
        <f t="shared" si="0"/>
        <v>1300</v>
      </c>
      <c r="G28" s="28" t="s">
        <v>136</v>
      </c>
      <c r="H28" s="28">
        <f t="shared" si="1"/>
        <v>200</v>
      </c>
      <c r="I28" s="116"/>
      <c r="J28" s="119">
        <f t="shared" si="2"/>
        <v>0.316</v>
      </c>
      <c r="K28" s="28" t="s">
        <v>136</v>
      </c>
      <c r="L28" s="119">
        <f t="shared" si="3"/>
        <v>0.044</v>
      </c>
      <c r="M28" s="117"/>
      <c r="N28" s="44">
        <f t="shared" si="4"/>
        <v>410</v>
      </c>
      <c r="O28" s="28" t="s">
        <v>136</v>
      </c>
      <c r="P28" s="44">
        <f t="shared" si="5"/>
        <v>60</v>
      </c>
      <c r="R28" s="28"/>
    </row>
    <row r="29" spans="2:18">
      <c r="B29" s="16">
        <v>18</v>
      </c>
      <c r="C29" s="106">
        <v>0.28</v>
      </c>
      <c r="D29" s="106">
        <v>0.38</v>
      </c>
      <c r="F29" s="28">
        <f t="shared" si="0"/>
        <v>1200</v>
      </c>
      <c r="G29" s="28" t="s">
        <v>136</v>
      </c>
      <c r="H29" s="28">
        <f t="shared" si="1"/>
        <v>200</v>
      </c>
      <c r="I29" s="117"/>
      <c r="J29" s="119">
        <f t="shared" si="2"/>
        <v>0.34</v>
      </c>
      <c r="K29" s="28" t="s">
        <v>136</v>
      </c>
      <c r="L29" s="119">
        <f t="shared" si="3"/>
        <v>0.04</v>
      </c>
      <c r="M29" s="119"/>
      <c r="N29" s="44">
        <f t="shared" si="4"/>
        <v>410</v>
      </c>
      <c r="O29" s="28" t="s">
        <v>136</v>
      </c>
      <c r="P29" s="44">
        <f t="shared" si="5"/>
        <v>50</v>
      </c>
      <c r="R29" s="28"/>
    </row>
    <row r="30" spans="2:18">
      <c r="B30" s="16">
        <v>20</v>
      </c>
      <c r="C30" s="106">
        <v>0.3</v>
      </c>
      <c r="D30" s="106">
        <v>0.4</v>
      </c>
      <c r="F30" s="28">
        <f t="shared" si="0"/>
        <v>1100</v>
      </c>
      <c r="G30" s="28" t="s">
        <v>136</v>
      </c>
      <c r="H30" s="28">
        <f t="shared" si="1"/>
        <v>200</v>
      </c>
      <c r="I30" s="117"/>
      <c r="J30" s="119">
        <f t="shared" si="2"/>
        <v>0.36</v>
      </c>
      <c r="K30" s="28" t="s">
        <v>136</v>
      </c>
      <c r="L30" s="119">
        <f t="shared" si="3"/>
        <v>0.04</v>
      </c>
      <c r="M30" s="119"/>
      <c r="N30" s="44">
        <f t="shared" si="4"/>
        <v>400</v>
      </c>
      <c r="O30" s="28" t="s">
        <v>136</v>
      </c>
      <c r="P30" s="44">
        <f t="shared" si="5"/>
        <v>40</v>
      </c>
      <c r="Q30" s="125"/>
      <c r="R30" s="28"/>
    </row>
    <row r="31" spans="2:16">
      <c r="B31" s="23"/>
      <c r="C31" s="107"/>
      <c r="D31" s="107"/>
      <c r="I31" s="120"/>
      <c r="J31" s="25"/>
      <c r="L31" s="25"/>
      <c r="M31" s="25"/>
      <c r="N31" s="121"/>
      <c r="P31" s="121"/>
    </row>
    <row r="32" spans="2:18">
      <c r="B32" s="108" t="s">
        <v>147</v>
      </c>
      <c r="C32" s="109"/>
      <c r="D32" s="109"/>
      <c r="E32" s="110"/>
      <c r="F32" s="110"/>
      <c r="G32" s="110"/>
      <c r="H32" s="110"/>
      <c r="I32" s="122"/>
      <c r="J32" s="15"/>
      <c r="K32" s="110"/>
      <c r="L32" s="15"/>
      <c r="M32" s="15"/>
      <c r="N32" s="123"/>
      <c r="O32" s="110"/>
      <c r="P32" s="123"/>
      <c r="Q32" s="110"/>
      <c r="R32" s="131"/>
    </row>
    <row r="33" spans="2:18">
      <c r="B33" s="111" t="s">
        <v>148</v>
      </c>
      <c r="C33" s="112"/>
      <c r="D33" s="112"/>
      <c r="E33" s="112"/>
      <c r="F33" s="113"/>
      <c r="G33" s="17">
        <v>25</v>
      </c>
      <c r="H33" s="17"/>
      <c r="I33" s="28" t="s">
        <v>149</v>
      </c>
      <c r="J33" s="28"/>
      <c r="L33" s="25"/>
      <c r="M33" s="25"/>
      <c r="N33" s="121"/>
      <c r="P33" s="121"/>
      <c r="R33" s="132"/>
    </row>
    <row r="34" spans="2:18">
      <c r="B34" s="111" t="s">
        <v>150</v>
      </c>
      <c r="C34" s="112"/>
      <c r="D34" s="112"/>
      <c r="E34" s="112"/>
      <c r="F34" s="113"/>
      <c r="G34" s="17">
        <v>70</v>
      </c>
      <c r="H34" s="17"/>
      <c r="I34" s="28" t="s">
        <v>151</v>
      </c>
      <c r="J34" s="28"/>
      <c r="L34" s="25"/>
      <c r="M34" s="124" t="s">
        <v>74</v>
      </c>
      <c r="N34" s="124"/>
      <c r="O34" s="44">
        <f>(1000*G34)/(3.14*G33)</f>
        <v>891.71974522293</v>
      </c>
      <c r="P34" s="44"/>
      <c r="Q34" s="45" t="s">
        <v>152</v>
      </c>
      <c r="R34" s="45"/>
    </row>
    <row r="35" spans="2:18">
      <c r="B35" s="111" t="s">
        <v>74</v>
      </c>
      <c r="C35" s="112"/>
      <c r="D35" s="112"/>
      <c r="E35" s="112"/>
      <c r="F35" s="113"/>
      <c r="G35" s="17">
        <v>800</v>
      </c>
      <c r="H35" s="17"/>
      <c r="I35" s="28" t="s">
        <v>152</v>
      </c>
      <c r="J35" s="28"/>
      <c r="K35" s="125"/>
      <c r="L35" s="20"/>
      <c r="M35" s="124" t="s">
        <v>150</v>
      </c>
      <c r="N35" s="124"/>
      <c r="O35" s="44">
        <f>3.14*G33*G35/1000</f>
        <v>62.8</v>
      </c>
      <c r="P35" s="44"/>
      <c r="Q35" s="45" t="s">
        <v>151</v>
      </c>
      <c r="R35" s="45"/>
    </row>
    <row r="36" ht="5" customHeight="1" spans="2:18">
      <c r="B36" s="23"/>
      <c r="C36" s="107"/>
      <c r="D36" s="107"/>
      <c r="J36" s="25"/>
      <c r="L36" s="25"/>
      <c r="M36" s="25"/>
      <c r="N36" s="121"/>
      <c r="P36" s="121"/>
      <c r="Q36" s="31"/>
      <c r="R36" s="31"/>
    </row>
    <row r="37" spans="2:18">
      <c r="B37" s="108" t="s">
        <v>153</v>
      </c>
      <c r="C37" s="109"/>
      <c r="D37" s="109"/>
      <c r="E37" s="110"/>
      <c r="F37" s="110"/>
      <c r="G37" s="110"/>
      <c r="H37" s="110"/>
      <c r="I37" s="110"/>
      <c r="J37" s="15"/>
      <c r="K37" s="110"/>
      <c r="L37" s="15"/>
      <c r="M37" s="15"/>
      <c r="N37" s="123"/>
      <c r="O37" s="110"/>
      <c r="P37" s="123"/>
      <c r="Q37" s="133"/>
      <c r="R37" s="134"/>
    </row>
    <row r="38" spans="2:18">
      <c r="B38" s="111" t="s">
        <v>74</v>
      </c>
      <c r="C38" s="112"/>
      <c r="D38" s="112"/>
      <c r="E38" s="112"/>
      <c r="F38" s="113"/>
      <c r="G38" s="17">
        <v>892</v>
      </c>
      <c r="H38" s="17"/>
      <c r="I38" s="28" t="s">
        <v>152</v>
      </c>
      <c r="J38" s="28"/>
      <c r="L38" s="25"/>
      <c r="M38" s="25"/>
      <c r="N38" s="121"/>
      <c r="P38" s="121"/>
      <c r="Q38" s="31"/>
      <c r="R38" s="135"/>
    </row>
    <row r="39" spans="2:18">
      <c r="B39" s="111" t="s">
        <v>154</v>
      </c>
      <c r="C39" s="112"/>
      <c r="D39" s="112"/>
      <c r="E39" s="112"/>
      <c r="F39" s="113"/>
      <c r="G39" s="17">
        <v>0.4</v>
      </c>
      <c r="H39" s="17"/>
      <c r="I39" s="28" t="s">
        <v>155</v>
      </c>
      <c r="J39" s="28"/>
      <c r="L39" s="25"/>
      <c r="M39" s="126" t="s">
        <v>156</v>
      </c>
      <c r="N39" s="126"/>
      <c r="O39" s="127">
        <f>G38*G39</f>
        <v>356.8</v>
      </c>
      <c r="P39" s="128"/>
      <c r="Q39" s="45" t="s">
        <v>157</v>
      </c>
      <c r="R39" s="45"/>
    </row>
    <row r="40" spans="2:18">
      <c r="B40" s="111" t="s">
        <v>158</v>
      </c>
      <c r="C40" s="112"/>
      <c r="D40" s="112"/>
      <c r="E40" s="112"/>
      <c r="F40" s="113"/>
      <c r="G40" s="17">
        <v>150</v>
      </c>
      <c r="H40" s="17"/>
      <c r="I40" s="28" t="s">
        <v>157</v>
      </c>
      <c r="J40" s="28"/>
      <c r="K40" s="125"/>
      <c r="L40" s="20"/>
      <c r="M40" s="126" t="s">
        <v>159</v>
      </c>
      <c r="N40" s="126"/>
      <c r="O40" s="129">
        <f>G40/G38</f>
        <v>0.168161434977578</v>
      </c>
      <c r="P40" s="130"/>
      <c r="Q40" s="45" t="s">
        <v>155</v>
      </c>
      <c r="R40" s="45"/>
    </row>
    <row r="41" spans="2:16">
      <c r="B41" s="23"/>
      <c r="C41" s="107"/>
      <c r="D41" s="107"/>
      <c r="I41" s="120"/>
      <c r="J41" s="25"/>
      <c r="L41" s="25"/>
      <c r="M41" s="25"/>
      <c r="N41" s="121"/>
      <c r="P41" s="121"/>
    </row>
    <row r="42" ht="13.5" spans="2:2">
      <c r="B42" s="114" t="s">
        <v>160</v>
      </c>
    </row>
    <row r="43" ht="13.5" spans="2:2">
      <c r="B43" s="114" t="s">
        <v>161</v>
      </c>
    </row>
    <row r="44" ht="13.5" spans="2:2">
      <c r="B44" s="114" t="s">
        <v>162</v>
      </c>
    </row>
    <row r="45" ht="13.5" spans="2:2">
      <c r="B45" s="114" t="s">
        <v>163</v>
      </c>
    </row>
    <row r="46" ht="13.5" spans="2:2">
      <c r="B46" s="114" t="s">
        <v>164</v>
      </c>
    </row>
    <row r="47" ht="13.5" spans="2:2">
      <c r="B47" s="114" t="s">
        <v>165</v>
      </c>
    </row>
    <row r="48" ht="13.5" spans="2:2">
      <c r="B48" s="114" t="s">
        <v>166</v>
      </c>
    </row>
    <row r="49" spans="2:2">
      <c r="B49" s="31"/>
    </row>
    <row r="50" spans="2:2">
      <c r="B50" s="31"/>
    </row>
  </sheetData>
  <sheetProtection password="BF12" sheet="1" objects="1"/>
  <mergeCells count="35">
    <mergeCell ref="C8:D8"/>
    <mergeCell ref="F8:H8"/>
    <mergeCell ref="J8:L8"/>
    <mergeCell ref="N8:P8"/>
    <mergeCell ref="B33:F33"/>
    <mergeCell ref="G33:H33"/>
    <mergeCell ref="I33:J33"/>
    <mergeCell ref="B34:F34"/>
    <mergeCell ref="G34:H34"/>
    <mergeCell ref="I34:J34"/>
    <mergeCell ref="M34:N34"/>
    <mergeCell ref="O34:P34"/>
    <mergeCell ref="Q34:R34"/>
    <mergeCell ref="B35:F35"/>
    <mergeCell ref="G35:H35"/>
    <mergeCell ref="I35:J35"/>
    <mergeCell ref="M35:N35"/>
    <mergeCell ref="O35:P35"/>
    <mergeCell ref="Q35:R35"/>
    <mergeCell ref="B38:F38"/>
    <mergeCell ref="G38:H38"/>
    <mergeCell ref="I38:J38"/>
    <mergeCell ref="B39:F39"/>
    <mergeCell ref="G39:H39"/>
    <mergeCell ref="I39:J39"/>
    <mergeCell ref="M39:N39"/>
    <mergeCell ref="O39:P39"/>
    <mergeCell ref="Q39:R39"/>
    <mergeCell ref="B40:F40"/>
    <mergeCell ref="G40:H40"/>
    <mergeCell ref="I40:J40"/>
    <mergeCell ref="M40:N40"/>
    <mergeCell ref="O40:P40"/>
    <mergeCell ref="Q40:R40"/>
    <mergeCell ref="B8:B9"/>
  </mergeCells>
  <printOptions horizontalCentered="1"/>
  <pageMargins left="0.471527777777778" right="0.471527777777778" top="1" bottom="1" header="0.507638888888889" footer="0.507638888888889"/>
  <pageSetup paperSize="9" orientation="portrait" horizontalDpi="600"/>
  <headerFooter alignWithMargins="0" scaleWithDoc="0"/>
  <drawing r:id="rId1"/>
  <legacyDrawing r:id="rId2"/>
  <oleObjects>
    <mc:AlternateContent xmlns:mc="http://schemas.openxmlformats.org/markup-compatibility/2006">
      <mc:Choice Requires="x14">
        <oleObject shapeId="6145" progId="Equation.3" r:id="rId3">
          <objectPr defaultSize="0" r:id="rId4">
            <anchor moveWithCells="1">
              <from>
                <xdr:col>12</xdr:col>
                <xdr:colOff>10795</xdr:colOff>
                <xdr:row>31</xdr:row>
                <xdr:rowOff>32385</xdr:rowOff>
              </from>
              <to>
                <xdr:col>15</xdr:col>
                <xdr:colOff>285115</xdr:colOff>
                <xdr:row>32</xdr:row>
                <xdr:rowOff>158750</xdr:rowOff>
              </to>
            </anchor>
          </objectPr>
        </oleObject>
      </mc:Choice>
      <mc:Fallback>
        <oleObject shapeId="6145" progId="Equation.3" r:id="rId3"/>
      </mc:Fallback>
    </mc:AlternateContent>
    <mc:AlternateContent xmlns:mc="http://schemas.openxmlformats.org/markup-compatibility/2006">
      <mc:Choice Requires="x14">
        <oleObject shapeId="6146" progId="Equation.3" r:id="rId5">
          <objectPr defaultSize="0" r:id="rId6">
            <anchor moveWithCells="1">
              <from>
                <xdr:col>15</xdr:col>
                <xdr:colOff>408305</xdr:colOff>
                <xdr:row>31</xdr:row>
                <xdr:rowOff>34290</xdr:rowOff>
              </from>
              <to>
                <xdr:col>17</xdr:col>
                <xdr:colOff>1006475</xdr:colOff>
                <xdr:row>32</xdr:row>
                <xdr:rowOff>162560</xdr:rowOff>
              </to>
            </anchor>
          </objectPr>
        </oleObject>
      </mc:Choice>
      <mc:Fallback>
        <oleObject shapeId="6146" progId="Equation.3" r:id="rId5"/>
      </mc:Fallback>
    </mc:AlternateContent>
    <mc:AlternateContent xmlns:mc="http://schemas.openxmlformats.org/markup-compatibility/2006">
      <mc:Choice Requires="x14">
        <oleObject shapeId="6147" progId="Equation.3" r:id="rId7">
          <objectPr defaultSize="0" r:id="rId8">
            <anchor moveWithCells="1">
              <from>
                <xdr:col>16</xdr:col>
                <xdr:colOff>9525</xdr:colOff>
                <xdr:row>36</xdr:row>
                <xdr:rowOff>31115</xdr:rowOff>
              </from>
              <to>
                <xdr:col>17</xdr:col>
                <xdr:colOff>572135</xdr:colOff>
                <xdr:row>37</xdr:row>
                <xdr:rowOff>160020</xdr:rowOff>
              </to>
            </anchor>
          </objectPr>
        </oleObject>
      </mc:Choice>
      <mc:Fallback>
        <oleObject shapeId="6147" progId="Equation.3" r:id="rId7"/>
      </mc:Fallback>
    </mc:AlternateContent>
    <mc:AlternateContent xmlns:mc="http://schemas.openxmlformats.org/markup-compatibility/2006">
      <mc:Choice Requires="x14">
        <oleObject shapeId="6148" progId="Equation.KSEE3" r:id="rId9">
          <objectPr defaultSize="0" r:id="rId10">
            <anchor moveWithCells="1">
              <from>
                <xdr:col>11</xdr:col>
                <xdr:colOff>480060</xdr:colOff>
                <xdr:row>36</xdr:row>
                <xdr:rowOff>88900</xdr:rowOff>
              </from>
              <to>
                <xdr:col>15</xdr:col>
                <xdr:colOff>199390</xdr:colOff>
                <xdr:row>37</xdr:row>
                <xdr:rowOff>72390</xdr:rowOff>
              </to>
            </anchor>
          </objectPr>
        </oleObject>
      </mc:Choice>
      <mc:Fallback>
        <oleObject shapeId="6148" progId="Equation.KSEE3" r:id="rId9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1:R36"/>
  <sheetViews>
    <sheetView showGridLines="0" zoomScale="115" zoomScaleNormal="115" workbookViewId="0">
      <selection activeCell="J19" sqref="J19"/>
    </sheetView>
  </sheetViews>
  <sheetFormatPr defaultColWidth="9" defaultRowHeight="13.5"/>
  <cols>
    <col min="1" max="1" width="1.625" style="1" customWidth="1"/>
    <col min="2" max="2" width="4.625" style="1" customWidth="1"/>
    <col min="3" max="3" width="9.375" style="1" customWidth="1"/>
    <col min="4" max="4" width="9.875" style="1" customWidth="1"/>
    <col min="5" max="5" width="8.275" style="1" customWidth="1"/>
    <col min="6" max="7" width="9.375" style="1" customWidth="1"/>
    <col min="8" max="8" width="6.8" style="1" customWidth="1"/>
    <col min="9" max="9" width="4.625" style="1" customWidth="1"/>
    <col min="10" max="10" width="9" style="1"/>
    <col min="11" max="11" width="9.375" style="1" customWidth="1"/>
    <col min="12" max="14" width="9" style="1"/>
    <col min="15" max="15" width="1.625" style="1" customWidth="1"/>
    <col min="16" max="16384" width="9" style="1"/>
  </cols>
  <sheetData>
    <row r="1" ht="10" customHeight="1"/>
    <row r="2" ht="14.25" spans="2:14">
      <c r="B2" s="72" t="s">
        <v>167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ht="18.75" spans="2:14">
      <c r="B3" s="3" t="s">
        <v>168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10" customHeight="1"/>
    <row r="5" ht="14.25" spans="2:18">
      <c r="B5" s="73" t="s">
        <v>38</v>
      </c>
      <c r="C5" s="4" t="s">
        <v>169</v>
      </c>
      <c r="D5" s="4" t="s">
        <v>170</v>
      </c>
      <c r="E5" s="4" t="s">
        <v>171</v>
      </c>
      <c r="F5" s="4" t="s">
        <v>172</v>
      </c>
      <c r="G5" s="4" t="s">
        <v>173</v>
      </c>
      <c r="H5" s="74"/>
      <c r="I5" s="73" t="s">
        <v>38</v>
      </c>
      <c r="J5" s="4" t="s">
        <v>174</v>
      </c>
      <c r="K5" s="4" t="s">
        <v>175</v>
      </c>
      <c r="L5" s="74"/>
      <c r="M5" s="74"/>
      <c r="N5" s="86"/>
      <c r="P5" s="87" t="s">
        <v>176</v>
      </c>
      <c r="Q5" s="96"/>
      <c r="R5" s="97"/>
    </row>
    <row r="6" ht="14.25" spans="2:18">
      <c r="B6" s="75"/>
      <c r="C6" s="4" t="s">
        <v>177</v>
      </c>
      <c r="D6" s="4" t="s">
        <v>178</v>
      </c>
      <c r="E6" s="4" t="s">
        <v>179</v>
      </c>
      <c r="F6" s="4" t="s">
        <v>180</v>
      </c>
      <c r="G6" s="4" t="s">
        <v>181</v>
      </c>
      <c r="I6" s="75"/>
      <c r="J6" s="4" t="s">
        <v>182</v>
      </c>
      <c r="K6" s="4" t="s">
        <v>183</v>
      </c>
      <c r="N6" s="88"/>
      <c r="P6" s="89"/>
      <c r="Q6" s="98"/>
      <c r="R6" s="99"/>
    </row>
    <row r="7" spans="2:18">
      <c r="B7" s="76" t="s">
        <v>184</v>
      </c>
      <c r="C7" s="10">
        <v>1</v>
      </c>
      <c r="D7" s="10">
        <v>10</v>
      </c>
      <c r="E7" s="10">
        <v>16</v>
      </c>
      <c r="F7" s="77">
        <f t="shared" ref="F7:F16" si="0">DEGREES(ATAN(1/(C7*2)))</f>
        <v>26.565051177078</v>
      </c>
      <c r="G7" s="30">
        <f t="shared" ref="G7:G16" si="1">(E7-D7)*C7</f>
        <v>6</v>
      </c>
      <c r="I7" s="90" t="s">
        <v>185</v>
      </c>
      <c r="J7" s="10">
        <v>3</v>
      </c>
      <c r="K7" s="91">
        <f t="shared" ref="K7:K26" si="2">(TAN(RADIANS(F7)))*J7*2+D7</f>
        <v>13</v>
      </c>
      <c r="N7" s="88"/>
      <c r="P7" s="92"/>
      <c r="Q7" s="92"/>
      <c r="R7" s="92"/>
    </row>
    <row r="8" spans="2:18">
      <c r="B8" s="76"/>
      <c r="C8" s="10">
        <v>2</v>
      </c>
      <c r="D8" s="10">
        <v>10</v>
      </c>
      <c r="E8" s="10">
        <v>16</v>
      </c>
      <c r="F8" s="77">
        <f t="shared" si="0"/>
        <v>14.0362434679265</v>
      </c>
      <c r="G8" s="30">
        <f t="shared" si="1"/>
        <v>12</v>
      </c>
      <c r="I8" s="90"/>
      <c r="J8" s="10">
        <v>3</v>
      </c>
      <c r="K8" s="91">
        <f t="shared" si="2"/>
        <v>11.5</v>
      </c>
      <c r="N8" s="88"/>
      <c r="P8" s="92"/>
      <c r="Q8" s="92"/>
      <c r="R8" s="92"/>
    </row>
    <row r="9" spans="2:18">
      <c r="B9" s="76"/>
      <c r="C9" s="10">
        <v>3</v>
      </c>
      <c r="D9" s="10">
        <v>10</v>
      </c>
      <c r="E9" s="10">
        <v>16</v>
      </c>
      <c r="F9" s="77">
        <f t="shared" si="0"/>
        <v>9.46232220802562</v>
      </c>
      <c r="G9" s="30">
        <f t="shared" si="1"/>
        <v>18</v>
      </c>
      <c r="I9" s="90"/>
      <c r="J9" s="10">
        <v>3</v>
      </c>
      <c r="K9" s="91">
        <f t="shared" si="2"/>
        <v>11</v>
      </c>
      <c r="N9" s="88"/>
      <c r="P9" s="92"/>
      <c r="Q9" s="92"/>
      <c r="R9" s="92"/>
    </row>
    <row r="10" spans="2:18">
      <c r="B10" s="76"/>
      <c r="C10" s="10">
        <v>4</v>
      </c>
      <c r="D10" s="10">
        <v>10</v>
      </c>
      <c r="E10" s="10">
        <v>16</v>
      </c>
      <c r="F10" s="77">
        <f t="shared" si="0"/>
        <v>7.1250163489018</v>
      </c>
      <c r="G10" s="30">
        <f t="shared" si="1"/>
        <v>24</v>
      </c>
      <c r="I10" s="90"/>
      <c r="J10" s="10">
        <v>3</v>
      </c>
      <c r="K10" s="91">
        <f t="shared" si="2"/>
        <v>10.75</v>
      </c>
      <c r="N10" s="88"/>
      <c r="P10" s="92"/>
      <c r="Q10" s="92"/>
      <c r="R10" s="92"/>
    </row>
    <row r="11" spans="2:18">
      <c r="B11" s="76"/>
      <c r="C11" s="10">
        <v>5</v>
      </c>
      <c r="D11" s="10">
        <v>10</v>
      </c>
      <c r="E11" s="10">
        <v>16</v>
      </c>
      <c r="F11" s="77">
        <f t="shared" si="0"/>
        <v>5.71059313749964</v>
      </c>
      <c r="G11" s="30">
        <f t="shared" si="1"/>
        <v>30</v>
      </c>
      <c r="I11" s="90"/>
      <c r="J11" s="10">
        <v>3</v>
      </c>
      <c r="K11" s="91">
        <f t="shared" si="2"/>
        <v>10.6</v>
      </c>
      <c r="N11" s="88"/>
      <c r="P11" s="92"/>
      <c r="Q11" s="92"/>
      <c r="R11" s="92"/>
    </row>
    <row r="12" spans="2:18">
      <c r="B12" s="76"/>
      <c r="C12" s="10">
        <v>6</v>
      </c>
      <c r="D12" s="10">
        <v>10</v>
      </c>
      <c r="E12" s="10">
        <v>16</v>
      </c>
      <c r="F12" s="77">
        <f t="shared" si="0"/>
        <v>4.76364169072618</v>
      </c>
      <c r="G12" s="30">
        <f t="shared" si="1"/>
        <v>36</v>
      </c>
      <c r="I12" s="90"/>
      <c r="J12" s="10">
        <v>3</v>
      </c>
      <c r="K12" s="91">
        <f t="shared" si="2"/>
        <v>10.5</v>
      </c>
      <c r="N12" s="88"/>
      <c r="P12" s="92"/>
      <c r="Q12" s="92"/>
      <c r="R12" s="92"/>
    </row>
    <row r="13" spans="2:18">
      <c r="B13" s="76"/>
      <c r="C13" s="10">
        <v>7</v>
      </c>
      <c r="D13" s="10">
        <v>10</v>
      </c>
      <c r="E13" s="10">
        <v>16</v>
      </c>
      <c r="F13" s="77">
        <f t="shared" si="0"/>
        <v>4.08561677997488</v>
      </c>
      <c r="G13" s="30">
        <f t="shared" si="1"/>
        <v>42</v>
      </c>
      <c r="I13" s="90"/>
      <c r="J13" s="10">
        <v>3</v>
      </c>
      <c r="K13" s="91">
        <f t="shared" si="2"/>
        <v>10.4285714285714</v>
      </c>
      <c r="N13" s="88"/>
      <c r="P13" s="92"/>
      <c r="Q13" s="92"/>
      <c r="R13" s="92"/>
    </row>
    <row r="14" spans="2:18">
      <c r="B14" s="76"/>
      <c r="C14" s="10">
        <v>8</v>
      </c>
      <c r="D14" s="10">
        <v>10</v>
      </c>
      <c r="E14" s="10">
        <v>16</v>
      </c>
      <c r="F14" s="77">
        <f t="shared" si="0"/>
        <v>3.57633437499735</v>
      </c>
      <c r="G14" s="30">
        <f t="shared" si="1"/>
        <v>48</v>
      </c>
      <c r="I14" s="90"/>
      <c r="J14" s="10">
        <v>3</v>
      </c>
      <c r="K14" s="91">
        <f t="shared" si="2"/>
        <v>10.375</v>
      </c>
      <c r="N14" s="88"/>
      <c r="P14" s="92"/>
      <c r="Q14" s="92"/>
      <c r="R14" s="92"/>
    </row>
    <row r="15" spans="2:18">
      <c r="B15" s="76"/>
      <c r="C15" s="10">
        <v>9</v>
      </c>
      <c r="D15" s="10">
        <v>10</v>
      </c>
      <c r="E15" s="10">
        <v>16</v>
      </c>
      <c r="F15" s="77">
        <f t="shared" si="0"/>
        <v>3.17983011986423</v>
      </c>
      <c r="G15" s="30">
        <f t="shared" si="1"/>
        <v>54</v>
      </c>
      <c r="I15" s="90"/>
      <c r="J15" s="10">
        <v>3</v>
      </c>
      <c r="K15" s="91">
        <f t="shared" si="2"/>
        <v>10.3333333333333</v>
      </c>
      <c r="N15" s="88"/>
      <c r="P15" s="92"/>
      <c r="Q15" s="92"/>
      <c r="R15" s="92"/>
    </row>
    <row r="16" spans="2:18">
      <c r="B16" s="76"/>
      <c r="C16" s="10">
        <v>10</v>
      </c>
      <c r="D16" s="10">
        <v>10</v>
      </c>
      <c r="E16" s="10">
        <v>16</v>
      </c>
      <c r="F16" s="77">
        <f t="shared" si="0"/>
        <v>2.86240522611175</v>
      </c>
      <c r="G16" s="30">
        <f t="shared" si="1"/>
        <v>60</v>
      </c>
      <c r="H16" s="78"/>
      <c r="I16" s="90"/>
      <c r="J16" s="10">
        <v>3</v>
      </c>
      <c r="K16" s="91">
        <f t="shared" si="2"/>
        <v>10.3</v>
      </c>
      <c r="N16" s="88"/>
      <c r="P16" s="92"/>
      <c r="Q16" s="92"/>
      <c r="R16" s="92"/>
    </row>
    <row r="17" spans="2:18">
      <c r="B17" s="76" t="s">
        <v>186</v>
      </c>
      <c r="C17" s="79">
        <f t="shared" ref="C17:C26" si="3">G17/(E17-D17)</f>
        <v>0.866025403784439</v>
      </c>
      <c r="D17" s="10">
        <v>10</v>
      </c>
      <c r="E17" s="10">
        <v>16</v>
      </c>
      <c r="F17" s="80">
        <v>30</v>
      </c>
      <c r="G17" s="81">
        <f t="shared" ref="G17:G26" si="4">(E17-D17)/2/(TAN(RADIANS(F17)))</f>
        <v>5.19615242270663</v>
      </c>
      <c r="I17" s="90"/>
      <c r="J17" s="10">
        <v>3</v>
      </c>
      <c r="K17" s="91">
        <f t="shared" si="2"/>
        <v>13.4641016151378</v>
      </c>
      <c r="N17" s="88"/>
      <c r="P17" s="92"/>
      <c r="Q17" s="92"/>
      <c r="R17" s="92"/>
    </row>
    <row r="18" spans="2:18">
      <c r="B18" s="76"/>
      <c r="C18" s="79">
        <f t="shared" si="3"/>
        <v>4.0721732139873</v>
      </c>
      <c r="D18" s="10">
        <v>10</v>
      </c>
      <c r="E18" s="10">
        <v>16</v>
      </c>
      <c r="F18" s="80">
        <v>7</v>
      </c>
      <c r="G18" s="81">
        <f t="shared" si="4"/>
        <v>24.4330392839238</v>
      </c>
      <c r="I18" s="90"/>
      <c r="J18" s="10">
        <v>3</v>
      </c>
      <c r="K18" s="91">
        <f t="shared" si="2"/>
        <v>10.7367073654174</v>
      </c>
      <c r="N18" s="88"/>
      <c r="P18" s="92"/>
      <c r="Q18" s="92"/>
      <c r="R18" s="92"/>
    </row>
    <row r="19" spans="2:18">
      <c r="B19" s="76"/>
      <c r="C19" s="79">
        <f t="shared" si="3"/>
        <v>9.5405683438641</v>
      </c>
      <c r="D19" s="10">
        <v>10</v>
      </c>
      <c r="E19" s="10">
        <v>16</v>
      </c>
      <c r="F19" s="80">
        <v>3</v>
      </c>
      <c r="G19" s="81">
        <f t="shared" si="4"/>
        <v>57.2434100631846</v>
      </c>
      <c r="I19" s="90"/>
      <c r="J19" s="10">
        <v>4</v>
      </c>
      <c r="K19" s="91">
        <f t="shared" si="2"/>
        <v>10.4192622342643</v>
      </c>
      <c r="N19" s="88"/>
      <c r="P19" s="92"/>
      <c r="Q19" s="92"/>
      <c r="R19" s="92"/>
    </row>
    <row r="20" spans="2:18">
      <c r="B20" s="76"/>
      <c r="C20" s="79">
        <f t="shared" si="3"/>
        <v>5.71502615138067</v>
      </c>
      <c r="D20" s="10">
        <v>10</v>
      </c>
      <c r="E20" s="10">
        <v>16</v>
      </c>
      <c r="F20" s="80">
        <v>5</v>
      </c>
      <c r="G20" s="81">
        <f t="shared" si="4"/>
        <v>34.290156908284</v>
      </c>
      <c r="I20" s="90"/>
      <c r="J20" s="10">
        <v>3</v>
      </c>
      <c r="K20" s="91">
        <f t="shared" si="2"/>
        <v>10.5249319811555</v>
      </c>
      <c r="N20" s="88"/>
      <c r="P20" s="92"/>
      <c r="Q20" s="92"/>
      <c r="R20" s="92"/>
    </row>
    <row r="21" spans="2:18">
      <c r="B21" s="76"/>
      <c r="C21" s="79">
        <f t="shared" si="3"/>
        <v>5.71502615138067</v>
      </c>
      <c r="D21" s="10">
        <v>10</v>
      </c>
      <c r="E21" s="10">
        <v>16</v>
      </c>
      <c r="F21" s="80">
        <v>5</v>
      </c>
      <c r="G21" s="81">
        <f t="shared" si="4"/>
        <v>34.290156908284</v>
      </c>
      <c r="I21" s="90"/>
      <c r="J21" s="10">
        <v>3</v>
      </c>
      <c r="K21" s="91">
        <f t="shared" si="2"/>
        <v>10.5249319811555</v>
      </c>
      <c r="N21" s="88"/>
      <c r="P21" s="92"/>
      <c r="Q21" s="92"/>
      <c r="R21" s="92"/>
    </row>
    <row r="22" spans="2:18">
      <c r="B22" s="76"/>
      <c r="C22" s="79">
        <f t="shared" si="3"/>
        <v>4.75718222711129</v>
      </c>
      <c r="D22" s="10">
        <v>10</v>
      </c>
      <c r="E22" s="10">
        <v>16</v>
      </c>
      <c r="F22" s="80">
        <v>6</v>
      </c>
      <c r="G22" s="81">
        <f t="shared" si="4"/>
        <v>28.5430933626678</v>
      </c>
      <c r="I22" s="90"/>
      <c r="J22" s="10">
        <v>3</v>
      </c>
      <c r="K22" s="91">
        <f t="shared" si="2"/>
        <v>10.6306254115941</v>
      </c>
      <c r="N22" s="93"/>
      <c r="P22" s="92"/>
      <c r="Q22" s="92"/>
      <c r="R22" s="92"/>
    </row>
    <row r="23" spans="2:18">
      <c r="B23" s="76"/>
      <c r="C23" s="79">
        <f t="shared" si="3"/>
        <v>4.0721732139873</v>
      </c>
      <c r="D23" s="10">
        <v>10</v>
      </c>
      <c r="E23" s="10">
        <v>16</v>
      </c>
      <c r="F23" s="80">
        <v>7</v>
      </c>
      <c r="G23" s="81">
        <f t="shared" si="4"/>
        <v>24.4330392839238</v>
      </c>
      <c r="I23" s="90"/>
      <c r="J23" s="10">
        <v>3</v>
      </c>
      <c r="K23" s="91">
        <f t="shared" si="2"/>
        <v>10.7367073654174</v>
      </c>
      <c r="N23" s="88"/>
      <c r="P23" s="92"/>
      <c r="Q23" s="92"/>
      <c r="R23" s="92"/>
    </row>
    <row r="24" spans="2:18">
      <c r="B24" s="76"/>
      <c r="C24" s="79">
        <f t="shared" si="3"/>
        <v>3.5576848611921</v>
      </c>
      <c r="D24" s="10">
        <v>10</v>
      </c>
      <c r="E24" s="10">
        <v>16</v>
      </c>
      <c r="F24" s="80">
        <v>8</v>
      </c>
      <c r="G24" s="81">
        <f t="shared" si="4"/>
        <v>21.3461091671526</v>
      </c>
      <c r="I24" s="90"/>
      <c r="J24" s="10">
        <v>3</v>
      </c>
      <c r="K24" s="91">
        <f t="shared" si="2"/>
        <v>10.8432450082143</v>
      </c>
      <c r="N24" s="88"/>
      <c r="P24" s="92"/>
      <c r="Q24" s="92"/>
      <c r="R24" s="92"/>
    </row>
    <row r="25" spans="2:18">
      <c r="B25" s="76"/>
      <c r="C25" s="79">
        <f t="shared" si="3"/>
        <v>3.15687575733752</v>
      </c>
      <c r="D25" s="10">
        <v>10</v>
      </c>
      <c r="E25" s="10">
        <v>16</v>
      </c>
      <c r="F25" s="80">
        <v>9</v>
      </c>
      <c r="G25" s="81">
        <f t="shared" si="4"/>
        <v>18.9412545440251</v>
      </c>
      <c r="I25" s="90"/>
      <c r="J25" s="10">
        <v>3</v>
      </c>
      <c r="K25" s="91">
        <f t="shared" si="2"/>
        <v>10.9503066419472</v>
      </c>
      <c r="N25" s="88"/>
      <c r="P25" s="92"/>
      <c r="Q25" s="92"/>
      <c r="R25" s="92"/>
    </row>
    <row r="26" spans="2:18">
      <c r="B26" s="76"/>
      <c r="C26" s="79">
        <f t="shared" si="3"/>
        <v>2.83564090980885</v>
      </c>
      <c r="D26" s="10">
        <v>10</v>
      </c>
      <c r="E26" s="10">
        <v>16</v>
      </c>
      <c r="F26" s="80">
        <v>10</v>
      </c>
      <c r="G26" s="81">
        <f t="shared" si="4"/>
        <v>17.0138454588531</v>
      </c>
      <c r="H26" s="78"/>
      <c r="I26" s="90"/>
      <c r="J26" s="10">
        <v>3</v>
      </c>
      <c r="K26" s="91">
        <f t="shared" si="2"/>
        <v>11.0579618842508</v>
      </c>
      <c r="L26" s="78"/>
      <c r="M26" s="78"/>
      <c r="N26" s="94"/>
      <c r="P26" s="92"/>
      <c r="Q26" s="92"/>
      <c r="R26" s="92"/>
    </row>
    <row r="28" spans="2:18">
      <c r="B28" s="76" t="s">
        <v>187</v>
      </c>
      <c r="C28" s="30" t="s">
        <v>188</v>
      </c>
      <c r="D28" s="30" t="s">
        <v>189</v>
      </c>
      <c r="E28" s="30" t="s">
        <v>70</v>
      </c>
      <c r="F28" s="82" t="s">
        <v>190</v>
      </c>
      <c r="G28" s="83"/>
      <c r="H28" s="30" t="s">
        <v>191</v>
      </c>
      <c r="I28" s="30"/>
      <c r="J28" s="30" t="s">
        <v>192</v>
      </c>
      <c r="L28" s="95" t="s">
        <v>193</v>
      </c>
      <c r="M28" s="95"/>
      <c r="N28" s="95"/>
      <c r="O28" s="95"/>
      <c r="P28" s="95"/>
      <c r="Q28" s="95"/>
      <c r="R28" s="95"/>
    </row>
    <row r="29" spans="2:18">
      <c r="B29" s="76"/>
      <c r="C29" s="10">
        <v>1</v>
      </c>
      <c r="D29" s="10">
        <v>0</v>
      </c>
      <c r="E29" s="10">
        <v>0</v>
      </c>
      <c r="F29" s="82">
        <f t="shared" ref="F29:F32" si="5">E29/3600+D29/60+C29</f>
        <v>1</v>
      </c>
      <c r="G29" s="83"/>
      <c r="H29" s="30">
        <f t="shared" ref="H29:H36" si="6">F29*2</f>
        <v>2</v>
      </c>
      <c r="I29" s="30"/>
      <c r="J29" s="30">
        <f t="shared" ref="J29:J36" si="7">F29/2</f>
        <v>0.5</v>
      </c>
      <c r="L29" s="95"/>
      <c r="M29" s="95"/>
      <c r="N29" s="95"/>
      <c r="O29" s="95"/>
      <c r="P29" s="95"/>
      <c r="Q29" s="95"/>
      <c r="R29" s="95"/>
    </row>
    <row r="30" spans="2:18">
      <c r="B30" s="76"/>
      <c r="C30" s="10">
        <v>2</v>
      </c>
      <c r="D30" s="10">
        <v>0</v>
      </c>
      <c r="E30" s="10">
        <v>0</v>
      </c>
      <c r="F30" s="82">
        <f t="shared" si="5"/>
        <v>2</v>
      </c>
      <c r="G30" s="83"/>
      <c r="H30" s="30">
        <f t="shared" si="6"/>
        <v>4</v>
      </c>
      <c r="I30" s="30"/>
      <c r="J30" s="30">
        <f t="shared" si="7"/>
        <v>1</v>
      </c>
      <c r="L30" s="95"/>
      <c r="M30" s="95"/>
      <c r="N30" s="95"/>
      <c r="O30" s="95"/>
      <c r="P30" s="95"/>
      <c r="Q30" s="95"/>
      <c r="R30" s="95"/>
    </row>
    <row r="31" spans="2:18">
      <c r="B31" s="76"/>
      <c r="C31" s="10">
        <v>3</v>
      </c>
      <c r="D31" s="10">
        <v>0</v>
      </c>
      <c r="E31" s="10">
        <v>0</v>
      </c>
      <c r="F31" s="82">
        <f t="shared" si="5"/>
        <v>3</v>
      </c>
      <c r="G31" s="83"/>
      <c r="H31" s="30">
        <f t="shared" si="6"/>
        <v>6</v>
      </c>
      <c r="I31" s="30"/>
      <c r="J31" s="30">
        <f t="shared" si="7"/>
        <v>1.5</v>
      </c>
      <c r="L31" s="95"/>
      <c r="M31" s="95"/>
      <c r="N31" s="95"/>
      <c r="O31" s="95"/>
      <c r="P31" s="95"/>
      <c r="Q31" s="95"/>
      <c r="R31" s="95"/>
    </row>
    <row r="32" spans="2:18">
      <c r="B32" s="76"/>
      <c r="C32" s="10">
        <v>4</v>
      </c>
      <c r="D32" s="10">
        <v>5</v>
      </c>
      <c r="E32" s="10">
        <v>5</v>
      </c>
      <c r="F32" s="82">
        <f t="shared" si="5"/>
        <v>4.08472222222222</v>
      </c>
      <c r="G32" s="83"/>
      <c r="H32" s="30">
        <f t="shared" si="6"/>
        <v>8.16944444444444</v>
      </c>
      <c r="I32" s="30"/>
      <c r="J32" s="30">
        <f t="shared" si="7"/>
        <v>2.04236111111111</v>
      </c>
      <c r="L32" s="95"/>
      <c r="M32" s="95"/>
      <c r="N32" s="95"/>
      <c r="O32" s="95"/>
      <c r="P32" s="95"/>
      <c r="Q32" s="95"/>
      <c r="R32" s="95"/>
    </row>
    <row r="33" spans="2:18">
      <c r="B33" s="76"/>
      <c r="C33" s="30">
        <f t="shared" ref="C33:C36" si="8">INT(F33)</f>
        <v>1</v>
      </c>
      <c r="D33" s="30">
        <f t="shared" ref="D33:D36" si="9">INT((F33-INT(F33))*60)</f>
        <v>30</v>
      </c>
      <c r="E33" s="30">
        <f t="shared" ref="E33:E36" si="10">((F33-INT(F33))*60-INT((F33-INT(F33))*60))*60</f>
        <v>0</v>
      </c>
      <c r="F33" s="84">
        <v>1.5</v>
      </c>
      <c r="G33" s="85"/>
      <c r="H33" s="30">
        <f t="shared" si="6"/>
        <v>3</v>
      </c>
      <c r="I33" s="30"/>
      <c r="J33" s="30">
        <f t="shared" si="7"/>
        <v>0.75</v>
      </c>
      <c r="L33" s="95"/>
      <c r="M33" s="95"/>
      <c r="N33" s="95"/>
      <c r="O33" s="95"/>
      <c r="P33" s="95"/>
      <c r="Q33" s="95"/>
      <c r="R33" s="95"/>
    </row>
    <row r="34" spans="2:18">
      <c r="B34" s="76"/>
      <c r="C34" s="30">
        <f t="shared" si="8"/>
        <v>2</v>
      </c>
      <c r="D34" s="30">
        <f t="shared" si="9"/>
        <v>0</v>
      </c>
      <c r="E34" s="30">
        <f t="shared" si="10"/>
        <v>0</v>
      </c>
      <c r="F34" s="84">
        <v>2</v>
      </c>
      <c r="G34" s="85"/>
      <c r="H34" s="30">
        <f t="shared" si="6"/>
        <v>4</v>
      </c>
      <c r="I34" s="30"/>
      <c r="J34" s="30">
        <f t="shared" si="7"/>
        <v>1</v>
      </c>
      <c r="L34" s="95"/>
      <c r="M34" s="95"/>
      <c r="N34" s="95"/>
      <c r="O34" s="95"/>
      <c r="P34" s="95"/>
      <c r="Q34" s="95"/>
      <c r="R34" s="95"/>
    </row>
    <row r="35" spans="2:18">
      <c r="B35" s="76"/>
      <c r="C35" s="30">
        <f t="shared" si="8"/>
        <v>3</v>
      </c>
      <c r="D35" s="30">
        <f t="shared" si="9"/>
        <v>0</v>
      </c>
      <c r="E35" s="30">
        <f t="shared" si="10"/>
        <v>0</v>
      </c>
      <c r="F35" s="84">
        <v>3</v>
      </c>
      <c r="G35" s="85"/>
      <c r="H35" s="30">
        <f t="shared" si="6"/>
        <v>6</v>
      </c>
      <c r="I35" s="30"/>
      <c r="J35" s="30">
        <f t="shared" si="7"/>
        <v>1.5</v>
      </c>
      <c r="L35" s="95"/>
      <c r="M35" s="95"/>
      <c r="N35" s="95"/>
      <c r="O35" s="95"/>
      <c r="P35" s="95"/>
      <c r="Q35" s="95"/>
      <c r="R35" s="95"/>
    </row>
    <row r="36" spans="2:18">
      <c r="B36" s="76"/>
      <c r="C36" s="30">
        <f t="shared" si="8"/>
        <v>4</v>
      </c>
      <c r="D36" s="30">
        <f t="shared" si="9"/>
        <v>30</v>
      </c>
      <c r="E36" s="30">
        <f t="shared" si="10"/>
        <v>0</v>
      </c>
      <c r="F36" s="84">
        <v>4.5</v>
      </c>
      <c r="G36" s="85"/>
      <c r="H36" s="30">
        <f t="shared" si="6"/>
        <v>9</v>
      </c>
      <c r="I36" s="30"/>
      <c r="J36" s="30">
        <f t="shared" si="7"/>
        <v>2.25</v>
      </c>
      <c r="L36" s="95"/>
      <c r="M36" s="95"/>
      <c r="N36" s="95"/>
      <c r="O36" s="95"/>
      <c r="P36" s="95"/>
      <c r="Q36" s="95"/>
      <c r="R36" s="95"/>
    </row>
  </sheetData>
  <sheetProtection password="BF12" sheet="1" objects="1"/>
  <mergeCells count="28">
    <mergeCell ref="B2:N2"/>
    <mergeCell ref="B3:N3"/>
    <mergeCell ref="F28:G28"/>
    <mergeCell ref="H28:I28"/>
    <mergeCell ref="F29:G29"/>
    <mergeCell ref="H29:I29"/>
    <mergeCell ref="F30:G30"/>
    <mergeCell ref="H30:I30"/>
    <mergeCell ref="F31:G31"/>
    <mergeCell ref="H31:I31"/>
    <mergeCell ref="F32:G32"/>
    <mergeCell ref="H32:I32"/>
    <mergeCell ref="F33:G33"/>
    <mergeCell ref="H33:I33"/>
    <mergeCell ref="F34:G34"/>
    <mergeCell ref="H34:I34"/>
    <mergeCell ref="F35:G35"/>
    <mergeCell ref="H35:I35"/>
    <mergeCell ref="F36:G36"/>
    <mergeCell ref="H36:I36"/>
    <mergeCell ref="B5:B6"/>
    <mergeCell ref="B7:B16"/>
    <mergeCell ref="B17:B26"/>
    <mergeCell ref="B28:B36"/>
    <mergeCell ref="I5:I6"/>
    <mergeCell ref="I7:I26"/>
    <mergeCell ref="P5:R6"/>
    <mergeCell ref="L28:R36"/>
  </mergeCells>
  <printOptions horizontalCentered="1" verticalCentered="1"/>
  <pageMargins left="0.471527777777778" right="0.471527777777778" top="0.55" bottom="0.55" header="0.511805555555556" footer="0.471527777777778"/>
  <pageSetup paperSize="9" orientation="landscape" horizontalDpi="600"/>
  <headerFooter>
    <oddFooter>&amp;C&amp;P/&amp;N&amp;R打印时间：&amp;D 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2:G33"/>
  <sheetViews>
    <sheetView showGridLines="0" zoomScale="130" zoomScaleNormal="130" workbookViewId="0">
      <selection activeCell="F19" sqref="F19"/>
    </sheetView>
  </sheetViews>
  <sheetFormatPr defaultColWidth="9" defaultRowHeight="13.5" outlineLevelCol="6"/>
  <cols>
    <col min="1" max="1" width="1.625" style="2" customWidth="1"/>
    <col min="2" max="2" width="14.6666666666667" style="2" customWidth="1"/>
    <col min="3" max="3" width="12.625" style="2" customWidth="1"/>
    <col min="4" max="6" width="10.625" style="2" customWidth="1"/>
    <col min="7" max="7" width="12.1666666666667" style="2" customWidth="1"/>
    <col min="8" max="16384" width="9" style="2"/>
  </cols>
  <sheetData>
    <row r="2" spans="2:7">
      <c r="B2" s="1" t="s">
        <v>167</v>
      </c>
      <c r="C2" s="1"/>
      <c r="D2" s="1"/>
      <c r="E2" s="1"/>
      <c r="F2" s="1"/>
      <c r="G2" s="1"/>
    </row>
    <row r="3" ht="18.75" spans="2:7">
      <c r="B3" s="3" t="s">
        <v>194</v>
      </c>
      <c r="C3" s="3"/>
      <c r="D3" s="3"/>
      <c r="E3" s="3"/>
      <c r="F3" s="3"/>
      <c r="G3" s="3"/>
    </row>
    <row r="5" ht="15" customHeight="1" spans="2:2">
      <c r="B5" s="48" t="s">
        <v>195</v>
      </c>
    </row>
    <row r="6" ht="15" customHeight="1" spans="2:2">
      <c r="B6" s="49" t="s">
        <v>196</v>
      </c>
    </row>
    <row r="7" ht="15" customHeight="1" spans="2:2">
      <c r="B7" s="49" t="s">
        <v>197</v>
      </c>
    </row>
    <row r="8" ht="15" customHeight="1" spans="2:2">
      <c r="B8" s="49" t="s">
        <v>198</v>
      </c>
    </row>
    <row r="10" ht="15.75" spans="2:7">
      <c r="B10" s="4" t="s">
        <v>199</v>
      </c>
      <c r="C10" s="50" t="s">
        <v>200</v>
      </c>
      <c r="D10" s="4" t="s">
        <v>201</v>
      </c>
      <c r="E10" s="4" t="s">
        <v>202</v>
      </c>
      <c r="F10" s="4" t="s">
        <v>203</v>
      </c>
      <c r="G10" s="4" t="s">
        <v>204</v>
      </c>
    </row>
    <row r="11" ht="20" customHeight="1" spans="2:7">
      <c r="B11" s="49" t="s">
        <v>205</v>
      </c>
      <c r="C11" s="10">
        <v>3</v>
      </c>
      <c r="D11" s="10">
        <v>2</v>
      </c>
      <c r="E11" s="51">
        <f>D11/TAN(RADIANS(C11))</f>
        <v>38.1622733754564</v>
      </c>
      <c r="F11" s="51">
        <f>D11/SIN(RADIANS(C11))</f>
        <v>38.2146452185948</v>
      </c>
      <c r="G11" s="49" t="s">
        <v>206</v>
      </c>
    </row>
    <row r="12" ht="20" customHeight="1" spans="2:7">
      <c r="B12" s="49" t="s">
        <v>207</v>
      </c>
      <c r="C12" s="10">
        <v>14</v>
      </c>
      <c r="D12" s="51">
        <f>TAN(RADIANS(C12))*E12</f>
        <v>0.59340064676677</v>
      </c>
      <c r="E12" s="10">
        <v>2.38</v>
      </c>
      <c r="F12" s="51">
        <f>E12/COS(RADIANS(C12))</f>
        <v>2.45286043785276</v>
      </c>
      <c r="G12" s="49" t="s">
        <v>208</v>
      </c>
    </row>
    <row r="13" ht="20" customHeight="1" spans="2:7">
      <c r="B13" s="49" t="s">
        <v>209</v>
      </c>
      <c r="C13" s="10">
        <v>7</v>
      </c>
      <c r="D13" s="51">
        <f>SIN(RADIANS(C13))*F13</f>
        <v>1.52336679256434</v>
      </c>
      <c r="E13" s="51">
        <f>COS(RADIANS(C13))*F13</f>
        <v>12.4068268955165</v>
      </c>
      <c r="F13" s="10">
        <v>12.5</v>
      </c>
      <c r="G13" s="49" t="s">
        <v>210</v>
      </c>
    </row>
    <row r="14" ht="20" customHeight="1" spans="2:7">
      <c r="B14" s="48" t="s">
        <v>211</v>
      </c>
      <c r="C14" s="51">
        <f>DEGREES(ASIN(D14/F14))</f>
        <v>6.01723315817789</v>
      </c>
      <c r="D14" s="10">
        <v>1.52</v>
      </c>
      <c r="E14" s="51">
        <f>SQRT(F14*F14-D14*D14)</f>
        <v>14.4201109565773</v>
      </c>
      <c r="F14" s="10">
        <v>14.5</v>
      </c>
      <c r="G14" s="48"/>
    </row>
    <row r="15" ht="20" customHeight="1" spans="2:7">
      <c r="B15" s="48" t="s">
        <v>212</v>
      </c>
      <c r="C15" s="51">
        <f>DEGREES(ACOS(E15/F15))</f>
        <v>89.9380586046771</v>
      </c>
      <c r="D15" s="51">
        <f>SQRT(F15*F15-E15*E15)</f>
        <v>11.0999935135116</v>
      </c>
      <c r="E15" s="10">
        <v>0.012</v>
      </c>
      <c r="F15" s="10">
        <v>11.1</v>
      </c>
      <c r="G15" s="48"/>
    </row>
    <row r="16" ht="20" customHeight="1" spans="2:7">
      <c r="B16" s="48" t="s">
        <v>213</v>
      </c>
      <c r="C16" s="51">
        <f>DEGREES(ATAN(D16/E16))</f>
        <v>0.2291818957541</v>
      </c>
      <c r="D16" s="10">
        <v>0.02</v>
      </c>
      <c r="E16" s="10">
        <v>5</v>
      </c>
      <c r="F16" s="51">
        <f>SQRT(D16*D16+E16*E16)</f>
        <v>5.00003999984</v>
      </c>
      <c r="G16" s="48"/>
    </row>
    <row r="17" spans="2:7">
      <c r="B17" s="52"/>
      <c r="C17" s="53"/>
      <c r="D17" s="54"/>
      <c r="E17" s="54"/>
      <c r="F17" s="53"/>
      <c r="G17" s="52"/>
    </row>
    <row r="18" ht="20" customHeight="1" spans="2:7">
      <c r="B18" s="55" t="s">
        <v>214</v>
      </c>
      <c r="C18" s="10"/>
      <c r="D18" s="10">
        <v>4.85</v>
      </c>
      <c r="E18" s="10"/>
      <c r="F18" s="10"/>
      <c r="G18" s="56"/>
    </row>
    <row r="19" ht="20" customHeight="1" spans="2:7">
      <c r="B19" s="57"/>
      <c r="C19" s="10"/>
      <c r="D19" s="10">
        <v>35</v>
      </c>
      <c r="E19" s="10">
        <v>118</v>
      </c>
      <c r="F19" s="10">
        <v>127</v>
      </c>
      <c r="G19" s="56"/>
    </row>
    <row r="20" ht="20" customHeight="1" spans="2:7">
      <c r="B20" s="58"/>
      <c r="C20" s="10"/>
      <c r="D20" s="10">
        <f>360/D19</f>
        <v>10.2857142857143</v>
      </c>
      <c r="E20" s="10">
        <f>D20*D18</f>
        <v>49.8857142857143</v>
      </c>
      <c r="F20" s="10"/>
      <c r="G20" s="56"/>
    </row>
    <row r="21" spans="6:6">
      <c r="F21" s="59"/>
    </row>
    <row r="22" ht="18.75" spans="2:6">
      <c r="B22" s="3" t="s">
        <v>215</v>
      </c>
      <c r="C22" s="3"/>
      <c r="D22" s="3"/>
      <c r="E22" s="3"/>
      <c r="F22" s="3"/>
    </row>
    <row r="23" ht="14.25" spans="2:7">
      <c r="B23" s="60">
        <v>1</v>
      </c>
      <c r="C23" s="61" t="s">
        <v>216</v>
      </c>
      <c r="D23" s="62">
        <v>3</v>
      </c>
      <c r="E23" s="61" t="s">
        <v>216</v>
      </c>
      <c r="F23" s="63">
        <f>B23/B24*F24</f>
        <v>1800</v>
      </c>
      <c r="G23" s="63"/>
    </row>
    <row r="24" spans="2:7">
      <c r="B24" s="64">
        <v>2</v>
      </c>
      <c r="C24" s="65"/>
      <c r="D24" s="66">
        <f>D23/B23*B24</f>
        <v>6</v>
      </c>
      <c r="E24" s="65"/>
      <c r="F24" s="67">
        <v>3600</v>
      </c>
      <c r="G24" s="67"/>
    </row>
    <row r="25" ht="3" customHeight="1" spans="2:6">
      <c r="B25" s="68"/>
      <c r="C25" s="69"/>
      <c r="D25" s="68"/>
      <c r="E25" s="69"/>
      <c r="F25" s="68"/>
    </row>
    <row r="26" ht="14.25" spans="2:7">
      <c r="B26" s="60">
        <v>3</v>
      </c>
      <c r="C26" s="61" t="s">
        <v>216</v>
      </c>
      <c r="D26" s="62">
        <v>6</v>
      </c>
      <c r="E26" s="61" t="s">
        <v>216</v>
      </c>
      <c r="F26" s="63">
        <f>B26/B27*F27</f>
        <v>45</v>
      </c>
      <c r="G26" s="63"/>
    </row>
    <row r="27" spans="2:7">
      <c r="B27" s="64">
        <v>4</v>
      </c>
      <c r="C27" s="65"/>
      <c r="D27" s="66">
        <f>D26/B26*B27</f>
        <v>8</v>
      </c>
      <c r="E27" s="65"/>
      <c r="F27" s="67">
        <v>60</v>
      </c>
      <c r="G27" s="67"/>
    </row>
    <row r="28" ht="3" customHeight="1" spans="2:6">
      <c r="B28" s="70"/>
      <c r="C28" s="70"/>
      <c r="D28" s="70"/>
      <c r="E28" s="70"/>
      <c r="F28" s="70"/>
    </row>
    <row r="29" ht="14.25" spans="2:7">
      <c r="B29" s="60">
        <v>5</v>
      </c>
      <c r="C29" s="61" t="s">
        <v>216</v>
      </c>
      <c r="D29" s="62">
        <v>10</v>
      </c>
      <c r="E29" s="61" t="s">
        <v>216</v>
      </c>
      <c r="F29" s="63">
        <f>B29/B30*F30</f>
        <v>0.25</v>
      </c>
      <c r="G29" s="63"/>
    </row>
    <row r="30" spans="2:7">
      <c r="B30" s="64">
        <v>6</v>
      </c>
      <c r="C30" s="65"/>
      <c r="D30" s="66">
        <f>D29/B29*B30</f>
        <v>12</v>
      </c>
      <c r="E30" s="65"/>
      <c r="F30" s="67">
        <v>0.3</v>
      </c>
      <c r="G30" s="67"/>
    </row>
    <row r="31" ht="3" customHeight="1"/>
    <row r="32" spans="2:7">
      <c r="B32" s="71" t="s">
        <v>217</v>
      </c>
      <c r="C32" s="71"/>
      <c r="D32" s="71"/>
      <c r="E32" s="71"/>
      <c r="F32" s="71"/>
      <c r="G32" s="71"/>
    </row>
    <row r="33" spans="2:7">
      <c r="B33" s="71" t="s">
        <v>218</v>
      </c>
      <c r="C33" s="71"/>
      <c r="D33" s="71"/>
      <c r="E33" s="71"/>
      <c r="F33" s="71"/>
      <c r="G33" s="71"/>
    </row>
  </sheetData>
  <sheetProtection password="BF12" sheet="1" objects="1"/>
  <mergeCells count="18">
    <mergeCell ref="B2:G2"/>
    <mergeCell ref="B3:G3"/>
    <mergeCell ref="B22:F22"/>
    <mergeCell ref="F23:G23"/>
    <mergeCell ref="F24:G24"/>
    <mergeCell ref="F26:G26"/>
    <mergeCell ref="F27:G27"/>
    <mergeCell ref="F29:G29"/>
    <mergeCell ref="F30:G30"/>
    <mergeCell ref="B32:G32"/>
    <mergeCell ref="B33:G33"/>
    <mergeCell ref="B18:B20"/>
    <mergeCell ref="C23:C24"/>
    <mergeCell ref="C26:C27"/>
    <mergeCell ref="C29:C30"/>
    <mergeCell ref="E23:E24"/>
    <mergeCell ref="E26:E27"/>
    <mergeCell ref="E29:E30"/>
  </mergeCells>
  <printOptions horizontalCentered="1"/>
  <pageMargins left="0.751388888888889" right="0.751388888888889" top="1" bottom="1" header="0.511805555555556" footer="0.511805555555556"/>
  <pageSetup paperSize="9" scale="110" orientation="portrait" horizontalDpi="600"/>
  <headerFooter>
    <oddFooter>&amp;C&amp;P/&amp;N&amp;R打印时间：&amp;D  &amp;T</oddFooter>
  </headerFooter>
  <drawing r:id="rId1"/>
  <legacyDrawing r:id="rId2"/>
  <oleObjects>
    <mc:AlternateContent xmlns:mc="http://schemas.openxmlformats.org/markup-compatibility/2006">
      <mc:Choice Requires="x14">
        <oleObject shapeId="335873" progId="Equation.KSEE3" r:id="rId3">
          <objectPr defaultSize="0" r:id="rId4">
            <anchor moveWithCells="1">
              <from>
                <xdr:col>6</xdr:col>
                <xdr:colOff>118110</xdr:colOff>
                <xdr:row>6</xdr:row>
                <xdr:rowOff>172085</xdr:rowOff>
              </from>
              <to>
                <xdr:col>6</xdr:col>
                <xdr:colOff>911225</xdr:colOff>
                <xdr:row>8</xdr:row>
                <xdr:rowOff>10160</xdr:rowOff>
              </to>
            </anchor>
          </objectPr>
        </oleObject>
      </mc:Choice>
      <mc:Fallback>
        <oleObject shapeId="335873" progId="Equation.KSEE3" r:id="rId3"/>
      </mc:Fallback>
    </mc:AlternateContent>
    <mc:AlternateContent xmlns:mc="http://schemas.openxmlformats.org/markup-compatibility/2006">
      <mc:Choice Requires="x14">
        <oleObject shapeId="335874" progId="Equation.KSEE3" r:id="rId5">
          <objectPr defaultSize="0" r:id="rId6">
            <anchor moveWithCells="1">
              <from>
                <xdr:col>6</xdr:col>
                <xdr:colOff>80645</xdr:colOff>
                <xdr:row>15</xdr:row>
                <xdr:rowOff>22225</xdr:rowOff>
              </from>
              <to>
                <xdr:col>6</xdr:col>
                <xdr:colOff>787400</xdr:colOff>
                <xdr:row>15</xdr:row>
                <xdr:rowOff>243840</xdr:rowOff>
              </to>
            </anchor>
          </objectPr>
        </oleObject>
      </mc:Choice>
      <mc:Fallback>
        <oleObject shapeId="335874" progId="Equation.KSEE3" r:id="rId5"/>
      </mc:Fallback>
    </mc:AlternateContent>
    <mc:AlternateContent xmlns:mc="http://schemas.openxmlformats.org/markup-compatibility/2006">
      <mc:Choice Requires="x14">
        <oleObject shapeId="335875" progId="Equation.KSEE3" r:id="rId7">
          <objectPr defaultSize="0" r:id="rId8">
            <anchor moveWithCells="1">
              <from>
                <xdr:col>6</xdr:col>
                <xdr:colOff>88265</xdr:colOff>
                <xdr:row>14</xdr:row>
                <xdr:rowOff>20320</xdr:rowOff>
              </from>
              <to>
                <xdr:col>6</xdr:col>
                <xdr:colOff>785495</xdr:colOff>
                <xdr:row>14</xdr:row>
                <xdr:rowOff>241935</xdr:rowOff>
              </to>
            </anchor>
          </objectPr>
        </oleObject>
      </mc:Choice>
      <mc:Fallback>
        <oleObject shapeId="335875" progId="Equation.KSEE3" r:id="rId7"/>
      </mc:Fallback>
    </mc:AlternateContent>
    <mc:AlternateContent xmlns:mc="http://schemas.openxmlformats.org/markup-compatibility/2006">
      <mc:Choice Requires="x14">
        <oleObject shapeId="335876" progId="Equation.KSEE3" r:id="rId9">
          <objectPr defaultSize="0" r:id="rId10">
            <anchor moveWithCells="1">
              <from>
                <xdr:col>6</xdr:col>
                <xdr:colOff>85725</xdr:colOff>
                <xdr:row>13</xdr:row>
                <xdr:rowOff>15875</xdr:rowOff>
              </from>
              <to>
                <xdr:col>6</xdr:col>
                <xdr:colOff>782955</xdr:colOff>
                <xdr:row>13</xdr:row>
                <xdr:rowOff>236855</xdr:rowOff>
              </to>
            </anchor>
          </objectPr>
        </oleObject>
      </mc:Choice>
      <mc:Fallback>
        <oleObject shapeId="335876" progId="Equation.KSEE3" r:id="rId9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2:XEV50"/>
  <sheetViews>
    <sheetView showGridLines="0" tabSelected="1" zoomScale="145" zoomScaleNormal="145" workbookViewId="0">
      <selection activeCell="G18" sqref="G18"/>
    </sheetView>
  </sheetViews>
  <sheetFormatPr defaultColWidth="9" defaultRowHeight="13.5"/>
  <cols>
    <col min="1" max="1" width="1.625" style="1" customWidth="1"/>
    <col min="2" max="4" width="8.36666666666667" style="1" customWidth="1"/>
    <col min="5" max="5" width="0.808333333333333" style="1" customWidth="1"/>
    <col min="6" max="6" width="12.2" style="1" customWidth="1"/>
    <col min="7" max="7" width="10.3833333333333" style="1" customWidth="1"/>
    <col min="8" max="8" width="10.4833333333333" style="1" customWidth="1"/>
    <col min="9" max="9" width="10.0916666666667" style="1" customWidth="1"/>
    <col min="10" max="10" width="9" style="1"/>
    <col min="11" max="11" width="8.93333333333333" style="1" customWidth="1"/>
    <col min="12" max="16376" width="9" style="1"/>
    <col min="16377" max="16384" width="9" style="2"/>
  </cols>
  <sheetData>
    <row r="2" spans="3:3">
      <c r="C2" s="1" t="s">
        <v>167</v>
      </c>
    </row>
    <row r="3" ht="18.75" spans="3:9">
      <c r="C3" s="3" t="s">
        <v>219</v>
      </c>
      <c r="D3" s="3"/>
      <c r="E3" s="3"/>
      <c r="F3" s="3"/>
      <c r="G3" s="3"/>
      <c r="H3" s="3"/>
      <c r="I3" s="3"/>
    </row>
    <row r="4" ht="10" customHeight="1"/>
    <row r="5" ht="14.25" spans="2:16376">
      <c r="B5" s="4" t="s">
        <v>175</v>
      </c>
      <c r="C5" s="4" t="s">
        <v>220</v>
      </c>
      <c r="D5" s="4" t="s">
        <v>221</v>
      </c>
      <c r="F5" s="5" t="s">
        <v>222</v>
      </c>
      <c r="G5" s="5" t="s">
        <v>223</v>
      </c>
      <c r="H5" s="5" t="s">
        <v>224</v>
      </c>
      <c r="I5" s="5" t="s">
        <v>225</v>
      </c>
      <c r="XET5" s="2"/>
      <c r="XEU5" s="2"/>
      <c r="XEV5" s="2"/>
    </row>
    <row r="6" ht="14.25" spans="2:16376">
      <c r="B6" s="4" t="s">
        <v>178</v>
      </c>
      <c r="C6" s="4" t="s">
        <v>226</v>
      </c>
      <c r="D6" s="4" t="s">
        <v>227</v>
      </c>
      <c r="F6" s="6"/>
      <c r="G6" s="5"/>
      <c r="H6" s="5"/>
      <c r="I6" s="5"/>
      <c r="XET6" s="2"/>
      <c r="XEU6" s="2"/>
      <c r="XEV6" s="2"/>
    </row>
    <row r="7" spans="2:16376">
      <c r="B7" s="7">
        <v>3</v>
      </c>
      <c r="C7" s="8">
        <v>140</v>
      </c>
      <c r="D7" s="9">
        <f t="shared" ref="D7:D24" si="0">B7/2/(TAN(RADIANS(C7/2)))</f>
        <v>0.545955351399304</v>
      </c>
      <c r="F7" s="10">
        <v>10</v>
      </c>
      <c r="G7" s="10">
        <v>1.5</v>
      </c>
      <c r="H7" s="11">
        <f t="shared" ref="H7:H24" si="1">D7+F7+G7</f>
        <v>12.0459553513993</v>
      </c>
      <c r="I7" s="41">
        <f t="shared" ref="I7:I24" si="2">D7+F7</f>
        <v>10.5459553513993</v>
      </c>
      <c r="XET7" s="2"/>
      <c r="XEU7" s="2"/>
      <c r="XEV7" s="2"/>
    </row>
    <row r="8" spans="2:16376">
      <c r="B8" s="7">
        <v>4</v>
      </c>
      <c r="C8" s="8">
        <v>140</v>
      </c>
      <c r="D8" s="9">
        <f t="shared" si="0"/>
        <v>0.727940468532405</v>
      </c>
      <c r="F8" s="10">
        <v>10</v>
      </c>
      <c r="G8" s="10">
        <v>1.5</v>
      </c>
      <c r="H8" s="11">
        <f t="shared" si="1"/>
        <v>12.2279404685324</v>
      </c>
      <c r="I8" s="41">
        <f t="shared" si="2"/>
        <v>10.7279404685324</v>
      </c>
      <c r="XET8" s="2"/>
      <c r="XEU8" s="2"/>
      <c r="XEV8" s="2"/>
    </row>
    <row r="9" spans="2:16376">
      <c r="B9" s="7">
        <v>5</v>
      </c>
      <c r="C9" s="8">
        <v>140</v>
      </c>
      <c r="D9" s="9">
        <f t="shared" si="0"/>
        <v>0.909925585665506</v>
      </c>
      <c r="F9" s="10">
        <v>10</v>
      </c>
      <c r="G9" s="10">
        <v>1.5</v>
      </c>
      <c r="H9" s="11">
        <f t="shared" si="1"/>
        <v>12.4099255856655</v>
      </c>
      <c r="I9" s="41">
        <f t="shared" si="2"/>
        <v>10.9099255856655</v>
      </c>
      <c r="XET9" s="2"/>
      <c r="XEU9" s="2"/>
      <c r="XEV9" s="2"/>
    </row>
    <row r="10" spans="2:16376">
      <c r="B10" s="7">
        <v>6</v>
      </c>
      <c r="C10" s="8">
        <v>140</v>
      </c>
      <c r="D10" s="9">
        <f t="shared" si="0"/>
        <v>1.09191070279861</v>
      </c>
      <c r="F10" s="10">
        <v>10</v>
      </c>
      <c r="G10" s="10">
        <v>1.5</v>
      </c>
      <c r="H10" s="11">
        <f t="shared" si="1"/>
        <v>12.5919107027986</v>
      </c>
      <c r="I10" s="41">
        <f t="shared" si="2"/>
        <v>11.0919107027986</v>
      </c>
      <c r="XET10" s="2"/>
      <c r="XEU10" s="2"/>
      <c r="XEV10" s="2"/>
    </row>
    <row r="11" spans="2:16376">
      <c r="B11" s="7">
        <v>7</v>
      </c>
      <c r="C11" s="8">
        <v>140</v>
      </c>
      <c r="D11" s="9">
        <f t="shared" si="0"/>
        <v>1.27389581993171</v>
      </c>
      <c r="F11" s="10">
        <v>10</v>
      </c>
      <c r="G11" s="10">
        <v>1.5</v>
      </c>
      <c r="H11" s="11">
        <f t="shared" si="1"/>
        <v>12.7738958199317</v>
      </c>
      <c r="I11" s="41">
        <f t="shared" si="2"/>
        <v>11.2738958199317</v>
      </c>
      <c r="XET11" s="2"/>
      <c r="XEU11" s="2"/>
      <c r="XEV11" s="2"/>
    </row>
    <row r="12" spans="2:16376">
      <c r="B12" s="7">
        <v>8</v>
      </c>
      <c r="C12" s="8">
        <v>140</v>
      </c>
      <c r="D12" s="9">
        <f t="shared" si="0"/>
        <v>1.45588093706481</v>
      </c>
      <c r="F12" s="10">
        <v>10</v>
      </c>
      <c r="G12" s="10">
        <v>1.5</v>
      </c>
      <c r="H12" s="11">
        <f t="shared" si="1"/>
        <v>12.9558809370648</v>
      </c>
      <c r="I12" s="41">
        <f t="shared" si="2"/>
        <v>11.4558809370648</v>
      </c>
      <c r="XET12" s="2"/>
      <c r="XEU12" s="2"/>
      <c r="XEV12" s="2"/>
    </row>
    <row r="13" spans="2:16376">
      <c r="B13" s="7">
        <v>9</v>
      </c>
      <c r="C13" s="8">
        <v>140</v>
      </c>
      <c r="D13" s="9">
        <f t="shared" si="0"/>
        <v>1.63786605419791</v>
      </c>
      <c r="F13" s="10">
        <v>10</v>
      </c>
      <c r="G13" s="10">
        <v>1.5</v>
      </c>
      <c r="H13" s="11">
        <f t="shared" si="1"/>
        <v>13.1378660541979</v>
      </c>
      <c r="I13" s="41">
        <f t="shared" si="2"/>
        <v>11.6378660541979</v>
      </c>
      <c r="XET13" s="2"/>
      <c r="XEU13" s="2"/>
      <c r="XEV13" s="2"/>
    </row>
    <row r="14" spans="2:16376">
      <c r="B14" s="7">
        <v>10</v>
      </c>
      <c r="C14" s="8">
        <v>140</v>
      </c>
      <c r="D14" s="9">
        <f t="shared" si="0"/>
        <v>1.81985117133101</v>
      </c>
      <c r="F14" s="10">
        <v>10</v>
      </c>
      <c r="G14" s="10">
        <v>1.5</v>
      </c>
      <c r="H14" s="11">
        <f t="shared" si="1"/>
        <v>13.319851171331</v>
      </c>
      <c r="I14" s="41">
        <f t="shared" si="2"/>
        <v>11.819851171331</v>
      </c>
      <c r="XET14" s="2"/>
      <c r="XEU14" s="2"/>
      <c r="XEV14" s="2"/>
    </row>
    <row r="15" spans="2:16376">
      <c r="B15" s="7">
        <v>11</v>
      </c>
      <c r="C15" s="8">
        <v>140</v>
      </c>
      <c r="D15" s="9">
        <f t="shared" si="0"/>
        <v>2.00183628846411</v>
      </c>
      <c r="F15" s="10">
        <v>10</v>
      </c>
      <c r="G15" s="10">
        <v>1.5</v>
      </c>
      <c r="H15" s="11">
        <f t="shared" si="1"/>
        <v>13.5018362884641</v>
      </c>
      <c r="I15" s="41">
        <f t="shared" si="2"/>
        <v>12.0018362884641</v>
      </c>
      <c r="XET15" s="2"/>
      <c r="XEU15" s="2"/>
      <c r="XEV15" s="2"/>
    </row>
    <row r="16" spans="2:16376">
      <c r="B16" s="7">
        <v>12</v>
      </c>
      <c r="C16" s="8">
        <v>140</v>
      </c>
      <c r="D16" s="9">
        <f t="shared" si="0"/>
        <v>2.18382140559721</v>
      </c>
      <c r="F16" s="10">
        <v>10</v>
      </c>
      <c r="G16" s="10">
        <v>1.5</v>
      </c>
      <c r="H16" s="11">
        <f t="shared" si="1"/>
        <v>13.6838214055972</v>
      </c>
      <c r="I16" s="41">
        <f t="shared" si="2"/>
        <v>12.1838214055972</v>
      </c>
      <c r="XET16" s="2"/>
      <c r="XEU16" s="2"/>
      <c r="XEV16" s="2"/>
    </row>
    <row r="17" spans="2:16376">
      <c r="B17" s="7">
        <v>13</v>
      </c>
      <c r="C17" s="8">
        <v>140</v>
      </c>
      <c r="D17" s="9">
        <f t="shared" si="0"/>
        <v>2.36580652273032</v>
      </c>
      <c r="F17" s="10">
        <v>10</v>
      </c>
      <c r="G17" s="10">
        <v>1.5</v>
      </c>
      <c r="H17" s="11">
        <f t="shared" si="1"/>
        <v>13.8658065227303</v>
      </c>
      <c r="I17" s="41">
        <f t="shared" si="2"/>
        <v>12.3658065227303</v>
      </c>
      <c r="XET17" s="2"/>
      <c r="XEU17" s="2"/>
      <c r="XEV17" s="2"/>
    </row>
    <row r="18" spans="2:16376">
      <c r="B18" s="7">
        <v>14</v>
      </c>
      <c r="C18" s="8">
        <v>140</v>
      </c>
      <c r="D18" s="9">
        <f t="shared" si="0"/>
        <v>2.54779163986342</v>
      </c>
      <c r="F18" s="10">
        <v>10</v>
      </c>
      <c r="G18" s="10">
        <v>1.5</v>
      </c>
      <c r="H18" s="11">
        <f t="shared" si="1"/>
        <v>14.0477916398634</v>
      </c>
      <c r="I18" s="41">
        <f t="shared" si="2"/>
        <v>12.5477916398634</v>
      </c>
      <c r="XET18" s="2"/>
      <c r="XEU18" s="2"/>
      <c r="XEV18" s="2"/>
    </row>
    <row r="19" spans="2:16376">
      <c r="B19" s="7">
        <v>15</v>
      </c>
      <c r="C19" s="8">
        <v>140</v>
      </c>
      <c r="D19" s="9">
        <f t="shared" si="0"/>
        <v>2.72977675699652</v>
      </c>
      <c r="F19" s="10">
        <v>10</v>
      </c>
      <c r="G19" s="10">
        <v>1.5</v>
      </c>
      <c r="H19" s="11">
        <f t="shared" si="1"/>
        <v>14.2297767569965</v>
      </c>
      <c r="I19" s="41">
        <f t="shared" si="2"/>
        <v>12.7297767569965</v>
      </c>
      <c r="XET19" s="2"/>
      <c r="XEU19" s="2"/>
      <c r="XEV19" s="2"/>
    </row>
    <row r="20" spans="2:16376">
      <c r="B20" s="7">
        <v>16</v>
      </c>
      <c r="C20" s="8">
        <v>140</v>
      </c>
      <c r="D20" s="9">
        <f t="shared" si="0"/>
        <v>2.91176187412962</v>
      </c>
      <c r="F20" s="10">
        <v>10</v>
      </c>
      <c r="G20" s="10">
        <v>1.5</v>
      </c>
      <c r="H20" s="11">
        <f t="shared" si="1"/>
        <v>14.4117618741296</v>
      </c>
      <c r="I20" s="41">
        <f t="shared" si="2"/>
        <v>12.9117618741296</v>
      </c>
      <c r="XET20" s="2"/>
      <c r="XEU20" s="2"/>
      <c r="XEV20" s="2"/>
    </row>
    <row r="21" spans="2:16376">
      <c r="B21" s="7">
        <v>17</v>
      </c>
      <c r="C21" s="8">
        <v>140</v>
      </c>
      <c r="D21" s="9">
        <f t="shared" si="0"/>
        <v>3.09374699126272</v>
      </c>
      <c r="F21" s="10">
        <v>10</v>
      </c>
      <c r="G21" s="10">
        <v>1.5</v>
      </c>
      <c r="H21" s="11">
        <f t="shared" si="1"/>
        <v>14.5937469912627</v>
      </c>
      <c r="I21" s="41">
        <f t="shared" si="2"/>
        <v>13.0937469912627</v>
      </c>
      <c r="XET21" s="2"/>
      <c r="XEU21" s="2"/>
      <c r="XEV21" s="2"/>
    </row>
    <row r="22" spans="2:16376">
      <c r="B22" s="7">
        <v>18</v>
      </c>
      <c r="C22" s="8">
        <v>140</v>
      </c>
      <c r="D22" s="9">
        <f t="shared" si="0"/>
        <v>3.27573210839582</v>
      </c>
      <c r="F22" s="10">
        <v>10</v>
      </c>
      <c r="G22" s="10">
        <v>1.5</v>
      </c>
      <c r="H22" s="11">
        <f t="shared" si="1"/>
        <v>14.7757321083958</v>
      </c>
      <c r="I22" s="41">
        <f t="shared" si="2"/>
        <v>13.2757321083958</v>
      </c>
      <c r="XET22" s="2"/>
      <c r="XEU22" s="2"/>
      <c r="XEV22" s="2"/>
    </row>
    <row r="23" spans="2:16376">
      <c r="B23" s="7">
        <v>19</v>
      </c>
      <c r="C23" s="8">
        <v>140</v>
      </c>
      <c r="D23" s="9">
        <f t="shared" si="0"/>
        <v>3.45771722552892</v>
      </c>
      <c r="F23" s="10">
        <v>10</v>
      </c>
      <c r="G23" s="10">
        <v>1.5</v>
      </c>
      <c r="H23" s="11">
        <f t="shared" si="1"/>
        <v>14.9577172255289</v>
      </c>
      <c r="I23" s="41">
        <f t="shared" si="2"/>
        <v>13.4577172255289</v>
      </c>
      <c r="XET23" s="2"/>
      <c r="XEU23" s="2"/>
      <c r="XEV23" s="2"/>
    </row>
    <row r="24" spans="2:16376">
      <c r="B24" s="7">
        <v>20</v>
      </c>
      <c r="C24" s="8">
        <v>140</v>
      </c>
      <c r="D24" s="9">
        <f t="shared" si="0"/>
        <v>3.63970234266202</v>
      </c>
      <c r="F24" s="10">
        <v>10</v>
      </c>
      <c r="G24" s="10">
        <v>1.5</v>
      </c>
      <c r="H24" s="11">
        <f t="shared" si="1"/>
        <v>15.139702342662</v>
      </c>
      <c r="I24" s="41">
        <f t="shared" si="2"/>
        <v>13.639702342662</v>
      </c>
      <c r="XET24" s="2"/>
      <c r="XEU24" s="2"/>
      <c r="XEV24" s="2"/>
    </row>
    <row r="26" ht="18.75" spans="2:9">
      <c r="B26" s="3" t="s">
        <v>228</v>
      </c>
      <c r="C26" s="3"/>
      <c r="D26" s="3"/>
      <c r="E26" s="3"/>
      <c r="F26" s="3"/>
      <c r="G26" s="3"/>
      <c r="H26" s="3"/>
      <c r="I26" s="3"/>
    </row>
    <row r="27" ht="14.25" spans="2:16376">
      <c r="B27" s="12" t="s">
        <v>147</v>
      </c>
      <c r="C27" s="13"/>
      <c r="D27" s="13"/>
      <c r="E27" s="13"/>
      <c r="F27" s="13"/>
      <c r="G27" s="14"/>
      <c r="H27" s="15"/>
      <c r="I27" s="15"/>
      <c r="J27" s="15"/>
      <c r="K27" s="42"/>
      <c r="XEV27" s="2"/>
    </row>
    <row r="28" ht="14.25" spans="2:16376">
      <c r="B28" s="16" t="s">
        <v>148</v>
      </c>
      <c r="C28" s="16"/>
      <c r="D28" s="17">
        <v>25</v>
      </c>
      <c r="E28" s="17"/>
      <c r="F28" s="18" t="s">
        <v>149</v>
      </c>
      <c r="G28" s="19"/>
      <c r="H28" s="20"/>
      <c r="I28" s="20"/>
      <c r="J28" s="20"/>
      <c r="K28" s="43"/>
      <c r="XEV28" s="2"/>
    </row>
    <row r="29" ht="14.25" spans="2:16376">
      <c r="B29" s="16" t="s">
        <v>150</v>
      </c>
      <c r="C29" s="16"/>
      <c r="D29" s="17">
        <v>100</v>
      </c>
      <c r="E29" s="17"/>
      <c r="F29" s="18" t="s">
        <v>151</v>
      </c>
      <c r="G29" s="19"/>
      <c r="H29" s="21" t="s">
        <v>74</v>
      </c>
      <c r="I29" s="44">
        <f>(1000*D29)/(3.14*D28)</f>
        <v>1273.88535031847</v>
      </c>
      <c r="J29" s="44"/>
      <c r="K29" s="45" t="s">
        <v>152</v>
      </c>
      <c r="XEV29" s="2"/>
    </row>
    <row r="30" ht="14.25" spans="2:16376">
      <c r="B30" s="16" t="s">
        <v>74</v>
      </c>
      <c r="C30" s="16"/>
      <c r="D30" s="17">
        <f>1100*1.2</f>
        <v>1320</v>
      </c>
      <c r="E30" s="17"/>
      <c r="F30" s="18" t="s">
        <v>152</v>
      </c>
      <c r="G30" s="22"/>
      <c r="H30" s="21" t="s">
        <v>150</v>
      </c>
      <c r="I30" s="44">
        <f>3.14*D28*D30/1000</f>
        <v>103.62</v>
      </c>
      <c r="J30" s="44"/>
      <c r="K30" s="45" t="s">
        <v>151</v>
      </c>
      <c r="XEV30" s="2"/>
    </row>
    <row r="31" ht="3" customHeight="1" spans="2:16376">
      <c r="B31" s="23"/>
      <c r="D31" s="24"/>
      <c r="F31" s="24"/>
      <c r="G31" s="24"/>
      <c r="H31" s="25"/>
      <c r="I31" s="24"/>
      <c r="K31" s="31"/>
      <c r="XEV31" s="2"/>
    </row>
    <row r="32" ht="14.25" spans="2:16376">
      <c r="B32" s="12" t="s">
        <v>153</v>
      </c>
      <c r="C32" s="13"/>
      <c r="D32" s="13"/>
      <c r="E32" s="13"/>
      <c r="F32" s="13"/>
      <c r="G32" s="14"/>
      <c r="H32" s="15"/>
      <c r="I32" s="15"/>
      <c r="J32" s="15"/>
      <c r="K32" s="42"/>
      <c r="XEV32" s="2"/>
    </row>
    <row r="33" ht="14.25" spans="2:16376">
      <c r="B33" s="16" t="s">
        <v>74</v>
      </c>
      <c r="C33" s="16"/>
      <c r="D33" s="17">
        <v>5500</v>
      </c>
      <c r="E33" s="17"/>
      <c r="F33" s="18" t="s">
        <v>152</v>
      </c>
      <c r="G33" s="19"/>
      <c r="H33" s="20"/>
      <c r="I33" s="20"/>
      <c r="J33" s="20"/>
      <c r="K33" s="43"/>
      <c r="XEV33" s="2"/>
    </row>
    <row r="34" ht="14.25" spans="2:16376">
      <c r="B34" s="16" t="s">
        <v>154</v>
      </c>
      <c r="C34" s="16"/>
      <c r="D34" s="17">
        <v>0.12</v>
      </c>
      <c r="E34" s="17"/>
      <c r="F34" s="18" t="s">
        <v>155</v>
      </c>
      <c r="G34" s="19"/>
      <c r="H34" s="26" t="s">
        <v>156</v>
      </c>
      <c r="I34" s="44">
        <f>D33*D34</f>
        <v>660</v>
      </c>
      <c r="J34" s="44"/>
      <c r="K34" s="45" t="s">
        <v>157</v>
      </c>
      <c r="XEV34" s="2"/>
    </row>
    <row r="35" ht="14.25" spans="2:16376">
      <c r="B35" s="27" t="s">
        <v>158</v>
      </c>
      <c r="C35" s="27"/>
      <c r="D35" s="17">
        <v>700</v>
      </c>
      <c r="E35" s="17"/>
      <c r="F35" s="28" t="s">
        <v>157</v>
      </c>
      <c r="G35" s="29"/>
      <c r="H35" s="26" t="s">
        <v>159</v>
      </c>
      <c r="I35" s="46">
        <f>D35/D33</f>
        <v>0.127272727272727</v>
      </c>
      <c r="J35" s="46"/>
      <c r="K35" s="45" t="s">
        <v>155</v>
      </c>
      <c r="XEV35" s="2"/>
    </row>
    <row r="36" s="1" customFormat="1" ht="14.25" spans="2:8">
      <c r="B36" s="30" t="s">
        <v>229</v>
      </c>
      <c r="C36" s="30"/>
      <c r="D36" s="10">
        <v>3</v>
      </c>
      <c r="E36" s="10"/>
      <c r="F36" s="30" t="s">
        <v>230</v>
      </c>
      <c r="G36" s="24"/>
      <c r="H36" s="31"/>
    </row>
    <row r="37" s="1" customFormat="1" ht="14.25" spans="2:8">
      <c r="B37" s="30" t="s">
        <v>231</v>
      </c>
      <c r="C37" s="30"/>
      <c r="D37" s="10">
        <v>0.17</v>
      </c>
      <c r="E37" s="10"/>
      <c r="F37" s="30" t="s">
        <v>149</v>
      </c>
      <c r="G37" s="24"/>
      <c r="H37" s="31"/>
    </row>
    <row r="38" s="1" customFormat="1" ht="3" customHeight="1" spans="7:8">
      <c r="G38" s="24"/>
      <c r="H38" s="31"/>
    </row>
    <row r="39" s="1" customFormat="1" spans="2:10">
      <c r="B39" s="32" t="s">
        <v>232</v>
      </c>
      <c r="C39" s="32"/>
      <c r="D39" s="30" t="s">
        <v>233</v>
      </c>
      <c r="E39" s="30"/>
      <c r="F39" s="30" t="s">
        <v>234</v>
      </c>
      <c r="G39" s="33"/>
      <c r="H39" s="34" t="s">
        <v>235</v>
      </c>
      <c r="I39" s="34" t="s">
        <v>159</v>
      </c>
      <c r="J39" s="34" t="s">
        <v>156</v>
      </c>
    </row>
    <row r="40" s="1" customFormat="1" spans="2:10">
      <c r="B40" s="32"/>
      <c r="C40" s="32"/>
      <c r="D40" s="30">
        <v>90</v>
      </c>
      <c r="E40" s="30"/>
      <c r="F40" s="35">
        <f t="shared" ref="F40:F47" si="3">1/SIN(RADIANS(D40))</f>
        <v>1</v>
      </c>
      <c r="G40" s="36"/>
      <c r="H40" s="37">
        <f>D37</f>
        <v>0.17</v>
      </c>
      <c r="I40" s="37">
        <f t="shared" ref="I40:I47" si="4">$D$36*H40</f>
        <v>0.51</v>
      </c>
      <c r="J40" s="47">
        <f t="shared" ref="J40:J47" si="5">$D$33*$D$36*H40</f>
        <v>2805</v>
      </c>
    </row>
    <row r="41" s="1" customFormat="1" spans="2:10">
      <c r="B41" s="32"/>
      <c r="C41" s="32"/>
      <c r="D41" s="30">
        <v>75</v>
      </c>
      <c r="E41" s="30"/>
      <c r="F41" s="35">
        <f t="shared" si="3"/>
        <v>1.03527618041008</v>
      </c>
      <c r="G41" s="36"/>
      <c r="H41" s="37">
        <f t="shared" ref="H41:H47" si="6">$H$40*F41</f>
        <v>0.175996950669714</v>
      </c>
      <c r="I41" s="37">
        <f t="shared" si="4"/>
        <v>0.527990852009141</v>
      </c>
      <c r="J41" s="47">
        <f t="shared" si="5"/>
        <v>2903.94968605027</v>
      </c>
    </row>
    <row r="42" s="1" customFormat="1" spans="2:10">
      <c r="B42" s="32"/>
      <c r="C42" s="32"/>
      <c r="D42" s="30">
        <v>60</v>
      </c>
      <c r="E42" s="30"/>
      <c r="F42" s="35">
        <f t="shared" si="3"/>
        <v>1.15470053837925</v>
      </c>
      <c r="G42" s="36"/>
      <c r="H42" s="37">
        <f t="shared" si="6"/>
        <v>0.196299091524473</v>
      </c>
      <c r="I42" s="37">
        <f t="shared" si="4"/>
        <v>0.588897274573418</v>
      </c>
      <c r="J42" s="47">
        <f t="shared" si="5"/>
        <v>3238.9350101538</v>
      </c>
    </row>
    <row r="43" s="1" customFormat="1" spans="2:10">
      <c r="B43" s="32"/>
      <c r="C43" s="32"/>
      <c r="D43" s="30">
        <v>45</v>
      </c>
      <c r="E43" s="30"/>
      <c r="F43" s="35">
        <f t="shared" si="3"/>
        <v>1.4142135623731</v>
      </c>
      <c r="G43" s="36"/>
      <c r="H43" s="37">
        <f t="shared" si="6"/>
        <v>0.240416305603427</v>
      </c>
      <c r="I43" s="37">
        <f t="shared" si="4"/>
        <v>0.721248916810281</v>
      </c>
      <c r="J43" s="47">
        <f t="shared" si="5"/>
        <v>3966.86904245655</v>
      </c>
    </row>
    <row r="44" s="1" customFormat="1" spans="2:10">
      <c r="B44" s="32"/>
      <c r="C44" s="32"/>
      <c r="D44" s="30">
        <v>20</v>
      </c>
      <c r="E44" s="30"/>
      <c r="F44" s="35">
        <f t="shared" si="3"/>
        <v>2.92380440016309</v>
      </c>
      <c r="G44" s="36"/>
      <c r="H44" s="37">
        <f t="shared" si="6"/>
        <v>0.497046748027725</v>
      </c>
      <c r="I44" s="37">
        <f t="shared" si="4"/>
        <v>1.49114024408318</v>
      </c>
      <c r="J44" s="47">
        <f t="shared" si="5"/>
        <v>8201.27134245747</v>
      </c>
    </row>
    <row r="45" s="1" customFormat="1" spans="2:10">
      <c r="B45" s="32"/>
      <c r="C45" s="32"/>
      <c r="D45" s="30">
        <v>15</v>
      </c>
      <c r="E45" s="30"/>
      <c r="F45" s="35">
        <f t="shared" si="3"/>
        <v>3.86370330515627</v>
      </c>
      <c r="G45" s="36"/>
      <c r="H45" s="37">
        <f t="shared" si="6"/>
        <v>0.656829561876566</v>
      </c>
      <c r="I45" s="37">
        <f t="shared" si="4"/>
        <v>1.9704886856297</v>
      </c>
      <c r="J45" s="47">
        <f t="shared" si="5"/>
        <v>10837.6877709633</v>
      </c>
    </row>
    <row r="46" s="1" customFormat="1" spans="2:10">
      <c r="B46" s="32"/>
      <c r="C46" s="32"/>
      <c r="D46" s="30">
        <v>10</v>
      </c>
      <c r="E46" s="30"/>
      <c r="F46" s="35">
        <f t="shared" si="3"/>
        <v>5.75877048314363</v>
      </c>
      <c r="G46" s="36"/>
      <c r="H46" s="37">
        <f t="shared" si="6"/>
        <v>0.978990982134417</v>
      </c>
      <c r="I46" s="37">
        <f t="shared" si="4"/>
        <v>2.93697294640325</v>
      </c>
      <c r="J46" s="47">
        <f t="shared" si="5"/>
        <v>16153.3512052179</v>
      </c>
    </row>
    <row r="47" s="1" customFormat="1" spans="2:10">
      <c r="B47" s="32"/>
      <c r="C47" s="32"/>
      <c r="D47" s="10">
        <v>30</v>
      </c>
      <c r="E47" s="10"/>
      <c r="F47" s="35">
        <f t="shared" si="3"/>
        <v>2</v>
      </c>
      <c r="G47" s="38"/>
      <c r="H47" s="37">
        <f t="shared" si="6"/>
        <v>0.34</v>
      </c>
      <c r="I47" s="37">
        <f t="shared" si="4"/>
        <v>1.02</v>
      </c>
      <c r="J47" s="47">
        <f t="shared" si="5"/>
        <v>5610</v>
      </c>
    </row>
    <row r="48" s="1" customFormat="1" ht="3" customHeight="1" spans="2:10">
      <c r="B48" s="39"/>
      <c r="C48" s="39"/>
      <c r="D48" s="39"/>
      <c r="E48" s="39"/>
      <c r="F48" s="39"/>
      <c r="G48" s="39"/>
      <c r="H48" s="39"/>
      <c r="I48" s="39"/>
      <c r="J48" s="39"/>
    </row>
    <row r="49" spans="2:2">
      <c r="B49" s="40" t="s">
        <v>236</v>
      </c>
    </row>
    <row r="50" spans="2:2">
      <c r="B50" s="40" t="s">
        <v>237</v>
      </c>
    </row>
  </sheetData>
  <sheetProtection password="BF12" sheet="1" objects="1"/>
  <mergeCells count="41">
    <mergeCell ref="C2:I2"/>
    <mergeCell ref="C3:I3"/>
    <mergeCell ref="B26:I26"/>
    <mergeCell ref="B27:F27"/>
    <mergeCell ref="B28:C28"/>
    <mergeCell ref="D28:E28"/>
    <mergeCell ref="B29:C29"/>
    <mergeCell ref="D29:E29"/>
    <mergeCell ref="I29:J29"/>
    <mergeCell ref="B30:C30"/>
    <mergeCell ref="D30:E30"/>
    <mergeCell ref="I30:J30"/>
    <mergeCell ref="B32:F32"/>
    <mergeCell ref="B33:C33"/>
    <mergeCell ref="D33:E33"/>
    <mergeCell ref="B34:C34"/>
    <mergeCell ref="D34:E34"/>
    <mergeCell ref="I34:J34"/>
    <mergeCell ref="B35:C35"/>
    <mergeCell ref="D35:E35"/>
    <mergeCell ref="I35:J35"/>
    <mergeCell ref="B36:C36"/>
    <mergeCell ref="D36:E36"/>
    <mergeCell ref="B37:C37"/>
    <mergeCell ref="D37:E37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F5:F6"/>
    <mergeCell ref="G5:G6"/>
    <mergeCell ref="H5:H6"/>
    <mergeCell ref="I5:I6"/>
    <mergeCell ref="H27:K28"/>
    <mergeCell ref="H32:K33"/>
    <mergeCell ref="B39:C47"/>
  </mergeCells>
  <printOptions horizontalCentered="1"/>
  <pageMargins left="0.590277777777778" right="0.590277777777778" top="1" bottom="1" header="0.511805555555556" footer="0.511805555555556"/>
  <pageSetup paperSize="9" orientation="portrait" horizontalDpi="600"/>
  <headerFooter>
    <oddFooter>&amp;C&amp;P/&amp;N&amp;R打印时间：&amp;D  &amp;T</oddFooter>
  </headerFooter>
  <drawing r:id="rId1"/>
  <legacyDrawing r:id="rId2"/>
  <oleObjects>
    <mc:AlternateContent xmlns:mc="http://schemas.openxmlformats.org/markup-compatibility/2006">
      <mc:Choice Requires="x14">
        <oleObject shapeId="336897" progId="Equation.3" r:id="rId3">
          <objectPr defaultSize="0" r:id="rId4">
            <anchor moveWithCells="1">
              <from>
                <xdr:col>7</xdr:col>
                <xdr:colOff>177800</xdr:colOff>
                <xdr:row>26</xdr:row>
                <xdr:rowOff>23495</xdr:rowOff>
              </from>
              <to>
                <xdr:col>8</xdr:col>
                <xdr:colOff>443865</xdr:colOff>
                <xdr:row>27</xdr:row>
                <xdr:rowOff>149860</xdr:rowOff>
              </to>
            </anchor>
          </objectPr>
        </oleObject>
      </mc:Choice>
      <mc:Fallback>
        <oleObject shapeId="336897" progId="Equation.3" r:id="rId3"/>
      </mc:Fallback>
    </mc:AlternateContent>
    <mc:AlternateContent xmlns:mc="http://schemas.openxmlformats.org/markup-compatibility/2006">
      <mc:Choice Requires="x14">
        <oleObject shapeId="336898" progId="Equation.3" r:id="rId5">
          <objectPr defaultSize="0" r:id="rId6">
            <anchor moveWithCells="1">
              <from>
                <xdr:col>9</xdr:col>
                <xdr:colOff>181610</xdr:colOff>
                <xdr:row>26</xdr:row>
                <xdr:rowOff>20320</xdr:rowOff>
              </from>
              <to>
                <xdr:col>10</xdr:col>
                <xdr:colOff>627380</xdr:colOff>
                <xdr:row>27</xdr:row>
                <xdr:rowOff>148590</xdr:rowOff>
              </to>
            </anchor>
          </objectPr>
        </oleObject>
      </mc:Choice>
      <mc:Fallback>
        <oleObject shapeId="336898" progId="Equation.3" r:id="rId5"/>
      </mc:Fallback>
    </mc:AlternateContent>
    <mc:AlternateContent xmlns:mc="http://schemas.openxmlformats.org/markup-compatibility/2006">
      <mc:Choice Requires="x14">
        <oleObject shapeId="336899" progId="Equation.3" r:id="rId7">
          <objectPr defaultSize="0" r:id="rId8">
            <anchor moveWithCells="1">
              <from>
                <xdr:col>9</xdr:col>
                <xdr:colOff>443230</xdr:colOff>
                <xdr:row>31</xdr:row>
                <xdr:rowOff>26670</xdr:rowOff>
              </from>
              <to>
                <xdr:col>10</xdr:col>
                <xdr:colOff>443865</xdr:colOff>
                <xdr:row>32</xdr:row>
                <xdr:rowOff>155575</xdr:rowOff>
              </to>
            </anchor>
          </objectPr>
        </oleObject>
      </mc:Choice>
      <mc:Fallback>
        <oleObject shapeId="336899" progId="Equation.3" r:id="rId7"/>
      </mc:Fallback>
    </mc:AlternateContent>
    <mc:AlternateContent xmlns:mc="http://schemas.openxmlformats.org/markup-compatibility/2006">
      <mc:Choice Requires="x14">
        <oleObject shapeId="336900" progId="Equation.KSEE3" r:id="rId9">
          <objectPr defaultSize="0" r:id="rId10">
            <anchor moveWithCells="1">
              <from>
                <xdr:col>7</xdr:col>
                <xdr:colOff>145415</xdr:colOff>
                <xdr:row>31</xdr:row>
                <xdr:rowOff>118110</xdr:rowOff>
              </from>
              <to>
                <xdr:col>8</xdr:col>
                <xdr:colOff>342265</xdr:colOff>
                <xdr:row>32</xdr:row>
                <xdr:rowOff>101600</xdr:rowOff>
              </to>
            </anchor>
          </objectPr>
        </oleObject>
      </mc:Choice>
      <mc:Fallback>
        <oleObject shapeId="336900" progId="Equation.KSEE3" r:id="rId9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DBXA</vt:lpstr>
      <vt:lpstr>RDE</vt:lpstr>
      <vt:lpstr>RDG</vt:lpstr>
      <vt:lpstr>R-2DCE</vt:lpstr>
      <vt:lpstr>R-2DCG</vt:lpstr>
      <vt:lpstr>钻孔参数</vt:lpstr>
      <vt:lpstr>铣刀锥度计算器</vt:lpstr>
      <vt:lpstr>三角函数+比例换算</vt:lpstr>
      <vt:lpstr>钻孔深度+切削速度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自导自演</cp:lastModifiedBy>
  <dcterms:created xsi:type="dcterms:W3CDTF">2017-12-06T00:23:00Z</dcterms:created>
  <dcterms:modified xsi:type="dcterms:W3CDTF">2019-05-14T00:56:09Z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  <property fmtid="{D5CDD505-2E9C-101B-9397-08002B2CF9AE}" pid="3" name="KSOReadingLayout">
    <vt:bool>true</vt:bool>
  </property>
</Properties>
</file>